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45" windowHeight="11640" activeTab="0"/>
  </bookViews>
  <sheets>
    <sheet name=" 2016" sheetId="1" r:id="rId1"/>
  </sheets>
  <definedNames>
    <definedName name="_xlnm.Print_Area" localSheetId="0">' 2016'!$A$1:$R$18</definedName>
  </definedNames>
  <calcPr fullCalcOnLoad="1"/>
</workbook>
</file>

<file path=xl/sharedStrings.xml><?xml version="1.0" encoding="utf-8"?>
<sst xmlns="http://schemas.openxmlformats.org/spreadsheetml/2006/main" count="47" uniqueCount="30">
  <si>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</si>
  <si>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</si>
  <si>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</si>
  <si>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</si>
  <si>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</si>
  <si>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</si>
  <si>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</si>
  <si>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</si>
  <si>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Поставщик</t>
  </si>
  <si>
    <t>ИТОГО</t>
  </si>
  <si>
    <t>ООО "Русэнергосбыт"</t>
  </si>
  <si>
    <t>ООО "Ромодановсахар"</t>
  </si>
  <si>
    <t>ОАО "Нижегородская сбытовая компания"</t>
  </si>
  <si>
    <t>сентябрь</t>
  </si>
  <si>
    <t>октябрь</t>
  </si>
  <si>
    <t>ноябрь</t>
  </si>
  <si>
    <t>декабрь</t>
  </si>
  <si>
    <t>ООО "Электросбытовая компания Ватт-Электросбыт"</t>
  </si>
  <si>
    <t>объем,         кВт.ч.</t>
  </si>
  <si>
    <t>средняя цена, руб/кВт.ч.</t>
  </si>
  <si>
    <t>цена, руб/кВт.ч.</t>
  </si>
  <si>
    <t>Объем покупки электрической энергии (мощности) на розничном рынке в 2016 г.</t>
  </si>
  <si>
    <t>АО "ГТ Энерго"</t>
  </si>
  <si>
    <t>объем,                    кВт</t>
  </si>
  <si>
    <t>цена, руб/кВт</t>
  </si>
  <si>
    <t>объем,                    кВт (мощность)</t>
  </si>
  <si>
    <t>ООО "Электросбытовая компания Ватт-Электросбыт" (договор №H388 от 02.08.2016г.)</t>
  </si>
  <si>
    <t>объем, кВтч.</t>
  </si>
  <si>
    <t>цена руб./кВтч</t>
  </si>
  <si>
    <t>Х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</si>
</sst>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#,##0.0"/>
    <numFmt numFmtId="187" formatCode="#,##0.00&quot;р.&quot;"/>
    <numFmt numFmtId="188" formatCode="#,##0.0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NumberFormat="1" applyAlignment="1">
      <alignment/>
    </xf>
    <xf numFmtId="4" fontId="1" fillId="0" borderId="0" xfId="0" applyFont="1" applyAlignment="1">
      <alignment vertical="center"/>
    </xf>
    <xf numFmtId="4" fontId="5" fillId="0" borderId="0" xfId="0" applyFont="1" applyAlignment="1">
      <alignment vertical="center"/>
    </xf>
    <xf numFmtId="4" fontId="5" fillId="0" borderId="0" xfId="0" applyFont="1" applyAlignment="1">
      <alignment horizontal="center" vertical="center" wrapText="1"/>
    </xf>
    <xf numFmtId="184" fontId="1" fillId="0" borderId="10" xfId="0" applyNumberFormat="1" applyFont="1" applyBorder="1" applyAlignment="1">
      <alignment vertical="center"/>
    </xf>
    <xf numFmtId="184" fontId="0" fillId="0" borderId="11" xfId="0" applyNumberFormat="1" applyFont="1" applyBorder="1" applyAlignment="1">
      <alignment vertical="center"/>
    </xf>
    <xf numFmtId="184" fontId="0" fillId="0" borderId="12" xfId="0" applyNumberFormat="1" applyFont="1" applyBorder="1" applyAlignment="1">
      <alignment vertical="center"/>
    </xf>
    <xf numFmtId="184" fontId="0" fillId="0" borderId="13" xfId="0" applyNumberFormat="1" applyFont="1" applyBorder="1" applyAlignment="1">
      <alignment vertical="center"/>
    </xf>
    <xf numFmtId="4" fontId="1" fillId="0" borderId="14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184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184" fontId="0" fillId="0" borderId="2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184" fontId="0" fillId="0" borderId="2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185" fontId="0" fillId="0" borderId="28" xfId="0" applyNumberFormat="1" applyFont="1" applyBorder="1" applyAlignment="1">
      <alignment horizontal="center" vertical="center"/>
    </xf>
    <xf numFmtId="184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184" fontId="0" fillId="0" borderId="27" xfId="0" applyNumberFormat="1" applyFont="1" applyBorder="1" applyAlignment="1">
      <alignment horizontal="center" vertical="center"/>
    </xf>
    <xf numFmtId="184" fontId="0" fillId="0" borderId="28" xfId="0" applyNumberFormat="1" applyFont="1" applyBorder="1" applyAlignment="1">
      <alignment horizontal="center" vertical="center"/>
    </xf>
    <xf numFmtId="3" fontId="0" fillId="33" borderId="26" xfId="0" applyNumberFormat="1" applyFont="1" applyFill="1" applyBorder="1" applyAlignment="1">
      <alignment horizontal="center" vertical="center"/>
    </xf>
    <xf numFmtId="184" fontId="0" fillId="0" borderId="31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184" fontId="0" fillId="0" borderId="33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184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184" fontId="0" fillId="0" borderId="38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184" fontId="1" fillId="0" borderId="43" xfId="0" applyNumberFormat="1" applyFont="1" applyBorder="1" applyAlignment="1">
      <alignment horizontal="center" vertical="center" wrapText="1"/>
    </xf>
    <xf numFmtId="184" fontId="1" fillId="0" borderId="39" xfId="0" applyNumberFormat="1" applyFont="1" applyBorder="1" applyAlignment="1">
      <alignment horizontal="center" vertical="center" wrapText="1"/>
    </xf>
    <xf numFmtId="184" fontId="1" fillId="0" borderId="19" xfId="0" applyNumberFormat="1" applyFont="1" applyBorder="1" applyAlignment="1">
      <alignment horizontal="center" vertical="center" wrapText="1"/>
    </xf>
    <xf numFmtId="184" fontId="1" fillId="0" borderId="44" xfId="0" applyNumberFormat="1" applyFont="1" applyBorder="1" applyAlignment="1">
      <alignment horizontal="center" vertical="center" wrapText="1"/>
    </xf>
    <xf numFmtId="184" fontId="1" fillId="0" borderId="45" xfId="0" applyNumberFormat="1" applyFont="1" applyBorder="1" applyAlignment="1">
      <alignment horizontal="center" vertical="center" wrapText="1"/>
    </xf>
    <xf numFmtId="184" fontId="1" fillId="0" borderId="41" xfId="0" applyNumberFormat="1" applyFont="1" applyBorder="1" applyAlignment="1">
      <alignment horizontal="center" vertical="center" wrapText="1"/>
    </xf>
    <xf numFmtId="184" fontId="1" fillId="0" borderId="14" xfId="0" applyNumberFormat="1" applyFont="1" applyBorder="1" applyAlignment="1">
      <alignment horizontal="center" vertical="center" wrapText="1"/>
    </xf>
    <xf numFmtId="184" fontId="0" fillId="0" borderId="46" xfId="0" applyNumberFormat="1" applyFont="1" applyBorder="1" applyAlignment="1">
      <alignment horizontal="center" vertical="center"/>
    </xf>
    <xf numFmtId="184" fontId="0" fillId="0" borderId="47" xfId="0" applyNumberFormat="1" applyFont="1" applyBorder="1" applyAlignment="1">
      <alignment horizontal="center" vertical="center"/>
    </xf>
    <xf numFmtId="184" fontId="1" fillId="0" borderId="14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84" fontId="1" fillId="0" borderId="48" xfId="0" applyNumberFormat="1" applyFont="1" applyBorder="1" applyAlignment="1">
      <alignment horizontal="center" vertical="center" wrapText="1"/>
    </xf>
    <xf numFmtId="0" fontId="0" fillId="0" borderId="49" xfId="0" applyNumberFormat="1" applyBorder="1" applyAlignment="1">
      <alignment vertical="center" wrapText="1"/>
    </xf>
    <xf numFmtId="4" fontId="1" fillId="0" borderId="19" xfId="0" applyFont="1" applyBorder="1" applyAlignment="1">
      <alignment horizontal="center" vertical="center" wrapText="1"/>
    </xf>
    <xf numFmtId="4" fontId="1" fillId="0" borderId="42" xfId="0" applyFont="1" applyBorder="1" applyAlignment="1">
      <alignment horizontal="center" vertical="center" wrapText="1"/>
    </xf>
    <xf numFmtId="4" fontId="1" fillId="0" borderId="14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50" xfId="0" applyNumberFormat="1" applyFont="1" applyBorder="1" applyAlignment="1">
      <alignment horizontal="center" vertical="center" wrapText="1"/>
    </xf>
    <xf numFmtId="184" fontId="1" fillId="0" borderId="42" xfId="0" applyNumberFormat="1" applyFont="1" applyBorder="1" applyAlignment="1">
      <alignment horizontal="center" vertical="center" wrapText="1"/>
    </xf>
    <xf numFmtId="0" fontId="0" fillId="0" borderId="50" xfId="0" applyNumberForma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="85" zoomScaleNormal="85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0" sqref="L30"/>
    </sheetView>
  </sheetViews>
  <sheetFormatPr defaultColWidth="9.00390625" defaultRowHeight="12.75"/>
  <cols>
    <col min="1" max="1" width="13.375" style="2" customWidth="1"/>
    <col min="2" max="2" width="16.625" style="2" customWidth="1"/>
    <col min="3" max="3" width="15.25390625" style="2" customWidth="1"/>
    <col min="4" max="4" width="11.25390625" style="2" customWidth="1"/>
    <col min="5" max="5" width="13.00390625" style="2" customWidth="1"/>
    <col min="6" max="6" width="10.125" style="2" customWidth="1"/>
    <col min="7" max="9" width="11.375" style="2" customWidth="1"/>
    <col min="10" max="10" width="12.875" style="2" customWidth="1"/>
    <col min="11" max="11" width="11.00390625" style="2" customWidth="1"/>
    <col min="12" max="12" width="12.75390625" style="2" customWidth="1"/>
    <col min="13" max="13" width="11.00390625" style="2" customWidth="1"/>
    <col min="14" max="14" width="12.625" style="2" customWidth="1"/>
    <col min="15" max="15" width="14.625" style="2" customWidth="1"/>
    <col min="16" max="16" width="12.875" style="1" customWidth="1"/>
    <col min="17" max="17" width="9.75390625" style="1" customWidth="1"/>
    <col min="18" max="18" width="13.25390625" style="1" customWidth="1"/>
    <col min="19" max="19" width="9.125" style="2" customWidth="1"/>
    <col min="20" max="20" width="14.375" style="2" customWidth="1"/>
    <col min="21" max="16384" width="9.125" style="2" customWidth="1"/>
  </cols>
  <sheetData>
    <row r="1" ht="12.75">
      <c r="A1" s="1" t="s">
        <v>21</v>
      </c>
    </row>
    <row r="2" ht="13.5" thickBot="1"/>
    <row r="3" spans="1:18" s="3" customFormat="1" ht="57.75" customHeight="1" thickBot="1">
      <c r="A3" s="59" t="s">
        <v>8</v>
      </c>
      <c r="B3" s="64" t="s">
        <v>10</v>
      </c>
      <c r="C3" s="65"/>
      <c r="D3" s="64" t="s">
        <v>12</v>
      </c>
      <c r="E3" s="65"/>
      <c r="F3" s="66" t="s">
        <v>11</v>
      </c>
      <c r="G3" s="66"/>
      <c r="H3" s="64" t="s">
        <v>17</v>
      </c>
      <c r="I3" s="65"/>
      <c r="J3" s="64" t="s">
        <v>22</v>
      </c>
      <c r="K3" s="66"/>
      <c r="L3" s="66"/>
      <c r="M3" s="67"/>
      <c r="N3" s="68" t="s">
        <v>26</v>
      </c>
      <c r="O3" s="69"/>
      <c r="P3" s="61" t="s">
        <v>9</v>
      </c>
      <c r="Q3" s="62"/>
      <c r="R3" s="63"/>
    </row>
    <row r="4" spans="1:18" s="3" customFormat="1" ht="45.75" customHeight="1" thickBot="1">
      <c r="A4" s="60"/>
      <c r="B4" s="46" t="s">
        <v>18</v>
      </c>
      <c r="C4" s="49" t="s">
        <v>20</v>
      </c>
      <c r="D4" s="46" t="s">
        <v>18</v>
      </c>
      <c r="E4" s="49" t="s">
        <v>20</v>
      </c>
      <c r="F4" s="46" t="s">
        <v>18</v>
      </c>
      <c r="G4" s="50" t="s">
        <v>20</v>
      </c>
      <c r="H4" s="46" t="s">
        <v>18</v>
      </c>
      <c r="I4" s="50" t="s">
        <v>20</v>
      </c>
      <c r="J4" s="47" t="s">
        <v>18</v>
      </c>
      <c r="K4" s="51" t="s">
        <v>20</v>
      </c>
      <c r="L4" s="48" t="s">
        <v>25</v>
      </c>
      <c r="M4" s="52" t="s">
        <v>24</v>
      </c>
      <c r="N4" s="47" t="s">
        <v>27</v>
      </c>
      <c r="O4" s="52" t="s">
        <v>28</v>
      </c>
      <c r="P4" s="48" t="s">
        <v>18</v>
      </c>
      <c r="Q4" s="48" t="s">
        <v>23</v>
      </c>
      <c r="R4" s="8" t="s">
        <v>19</v>
      </c>
    </row>
    <row r="5" spans="1:18" ht="12.75">
      <c r="A5" s="5" t="s">
        <v>0</v>
      </c>
      <c r="B5" s="15">
        <v>952370</v>
      </c>
      <c r="C5" s="16">
        <v>1.8428987683358358</v>
      </c>
      <c r="D5" s="15">
        <v>7591</v>
      </c>
      <c r="E5" s="17">
        <v>2.324847846133579</v>
      </c>
      <c r="F5" s="18">
        <v>29625</v>
      </c>
      <c r="G5" s="19">
        <v>1.19822</v>
      </c>
      <c r="H5" s="15">
        <v>139249</v>
      </c>
      <c r="I5" s="19">
        <v>2.29571</v>
      </c>
      <c r="J5" s="20">
        <v>7288473</v>
      </c>
      <c r="K5" s="21">
        <v>1.21579</v>
      </c>
      <c r="L5" s="22">
        <v>16985</v>
      </c>
      <c r="M5" s="23">
        <v>417.75219</v>
      </c>
      <c r="N5" s="20"/>
      <c r="O5" s="23"/>
      <c r="P5" s="9">
        <f>B5+D5+F5+H5+J5</f>
        <v>8417308</v>
      </c>
      <c r="Q5" s="10">
        <f>L5</f>
        <v>16985</v>
      </c>
      <c r="R5" s="11">
        <f>(B5*C5+D5*E5+F5*G5+H5*I5+J5*K5+L5*M5)/P5</f>
        <v>2.148515362050432</v>
      </c>
    </row>
    <row r="6" spans="1:18" ht="12.75">
      <c r="A6" s="6" t="s">
        <v>1</v>
      </c>
      <c r="B6" s="24">
        <v>943948</v>
      </c>
      <c r="C6" s="25">
        <f>(1971033.78-300666.17)/B6</f>
        <v>1.7695546894532328</v>
      </c>
      <c r="D6" s="24">
        <v>9459</v>
      </c>
      <c r="E6" s="23">
        <f>21754.08/D6</f>
        <v>2.299828734538535</v>
      </c>
      <c r="F6" s="26">
        <v>0</v>
      </c>
      <c r="G6" s="27">
        <v>0</v>
      </c>
      <c r="H6" s="24">
        <v>18048</v>
      </c>
      <c r="I6" s="28">
        <f>2.03499</f>
        <v>2.03499</v>
      </c>
      <c r="J6" s="24">
        <v>10104098</v>
      </c>
      <c r="K6" s="53">
        <v>1.13687</v>
      </c>
      <c r="L6" s="29">
        <v>17894</v>
      </c>
      <c r="M6" s="30">
        <v>354.44667</v>
      </c>
      <c r="N6" s="24"/>
      <c r="O6" s="30"/>
      <c r="P6" s="12">
        <f>B6+D6+F6+H6+J6</f>
        <v>11075553</v>
      </c>
      <c r="Q6" s="10">
        <f>L6</f>
        <v>17894</v>
      </c>
      <c r="R6" s="11">
        <f aca="true" t="shared" si="0" ref="R6:R12">(B6*C6+D6*E6+F6*G6+H6*I6+J6*K6+L6*M6)/P6</f>
        <v>1.7659040407065902</v>
      </c>
    </row>
    <row r="7" spans="1:18" ht="12.75">
      <c r="A7" s="6" t="s">
        <v>2</v>
      </c>
      <c r="B7" s="24">
        <v>810417</v>
      </c>
      <c r="C7" s="30">
        <f>(1705334.42-260135.76)/B7</f>
        <v>1.7832778187032108</v>
      </c>
      <c r="D7" s="24">
        <v>11583</v>
      </c>
      <c r="E7" s="30">
        <f>26485.36/D7</f>
        <v>2.2865716999050334</v>
      </c>
      <c r="F7" s="26">
        <v>0</v>
      </c>
      <c r="G7" s="27">
        <v>0</v>
      </c>
      <c r="H7" s="24">
        <v>21576</v>
      </c>
      <c r="I7" s="28">
        <v>2.18217</v>
      </c>
      <c r="J7" s="24">
        <v>10502328</v>
      </c>
      <c r="K7" s="53">
        <v>1.13871</v>
      </c>
      <c r="L7" s="29">
        <v>16936</v>
      </c>
      <c r="M7" s="30">
        <v>448.59993</v>
      </c>
      <c r="N7" s="24"/>
      <c r="O7" s="30"/>
      <c r="P7" s="12">
        <f aca="true" t="shared" si="1" ref="P7:P12">B7+D7+F7+H7+J7</f>
        <v>11345904</v>
      </c>
      <c r="Q7" s="10">
        <f aca="true" t="shared" si="2" ref="Q7:Q16">L7</f>
        <v>16936</v>
      </c>
      <c r="R7" s="11">
        <f t="shared" si="0"/>
        <v>1.8575303344079062</v>
      </c>
    </row>
    <row r="8" spans="1:18" ht="12.75">
      <c r="A8" s="6" t="s">
        <v>3</v>
      </c>
      <c r="B8" s="24">
        <v>755903</v>
      </c>
      <c r="C8" s="30">
        <f>(1667583.15-254377.1)/B8</f>
        <v>1.8695600493714137</v>
      </c>
      <c r="D8" s="24">
        <v>10925</v>
      </c>
      <c r="E8" s="30">
        <f>25006.8/D8</f>
        <v>2.2889519450800915</v>
      </c>
      <c r="F8" s="26">
        <v>0</v>
      </c>
      <c r="G8" s="27">
        <v>0</v>
      </c>
      <c r="H8" s="24">
        <v>4584</v>
      </c>
      <c r="I8" s="31">
        <v>2.1025</v>
      </c>
      <c r="J8" s="24">
        <v>9569907</v>
      </c>
      <c r="K8" s="53">
        <v>1.13055</v>
      </c>
      <c r="L8" s="29">
        <v>16385</v>
      </c>
      <c r="M8" s="30">
        <v>417.22643</v>
      </c>
      <c r="N8" s="24"/>
      <c r="O8" s="30"/>
      <c r="P8" s="12">
        <f t="shared" si="1"/>
        <v>10341319</v>
      </c>
      <c r="Q8" s="10">
        <f t="shared" si="2"/>
        <v>16385</v>
      </c>
      <c r="R8" s="11">
        <f t="shared" si="0"/>
        <v>1.8472850633850477</v>
      </c>
    </row>
    <row r="9" spans="1:18" ht="12.75">
      <c r="A9" s="6" t="s">
        <v>4</v>
      </c>
      <c r="B9" s="24">
        <v>648111</v>
      </c>
      <c r="C9" s="30">
        <f>(1505426.74-229641.37)/B9</f>
        <v>1.9684673921596765</v>
      </c>
      <c r="D9" s="24">
        <v>20140</v>
      </c>
      <c r="E9" s="30">
        <f>55390.5/D9</f>
        <v>2.7502730883813307</v>
      </c>
      <c r="F9" s="26">
        <v>0</v>
      </c>
      <c r="G9" s="27">
        <v>0</v>
      </c>
      <c r="H9" s="32">
        <v>2544</v>
      </c>
      <c r="I9" s="31">
        <v>2.26093</v>
      </c>
      <c r="J9" s="24">
        <v>6761700</v>
      </c>
      <c r="K9" s="53">
        <v>1.25968</v>
      </c>
      <c r="L9" s="29">
        <v>13943</v>
      </c>
      <c r="M9" s="30">
        <v>462.23772</v>
      </c>
      <c r="N9" s="24"/>
      <c r="O9" s="30"/>
      <c r="P9" s="12">
        <f t="shared" si="1"/>
        <v>7432495</v>
      </c>
      <c r="Q9" s="10">
        <f t="shared" si="2"/>
        <v>13943</v>
      </c>
      <c r="R9" s="11">
        <f t="shared" si="0"/>
        <v>2.193003353770167</v>
      </c>
    </row>
    <row r="10" spans="1:18" ht="12.75">
      <c r="A10" s="6" t="s">
        <v>5</v>
      </c>
      <c r="B10" s="24">
        <v>708352</v>
      </c>
      <c r="C10" s="30">
        <f>(1684682.39-256985.46)/B10</f>
        <v>2.0155190216163716</v>
      </c>
      <c r="D10" s="24">
        <v>7247</v>
      </c>
      <c r="E10" s="30">
        <f>13511.36/D10</f>
        <v>1.8644073409686768</v>
      </c>
      <c r="F10" s="26">
        <v>0</v>
      </c>
      <c r="G10" s="27">
        <v>0</v>
      </c>
      <c r="H10" s="32">
        <v>12024</v>
      </c>
      <c r="I10" s="33">
        <v>2.22628</v>
      </c>
      <c r="J10" s="24">
        <v>6161628</v>
      </c>
      <c r="K10" s="53">
        <v>1.3081</v>
      </c>
      <c r="L10" s="29">
        <v>9764</v>
      </c>
      <c r="M10" s="30">
        <v>355.75044</v>
      </c>
      <c r="N10" s="24"/>
      <c r="O10" s="30"/>
      <c r="P10" s="12">
        <f t="shared" si="1"/>
        <v>6889251</v>
      </c>
      <c r="Q10" s="10">
        <f t="shared" si="2"/>
        <v>9764</v>
      </c>
      <c r="R10" s="11">
        <f t="shared" si="0"/>
        <v>1.887222567980177</v>
      </c>
    </row>
    <row r="11" spans="1:18" ht="12.75">
      <c r="A11" s="6" t="s">
        <v>6</v>
      </c>
      <c r="B11" s="24">
        <v>675561</v>
      </c>
      <c r="C11" s="30">
        <f>(1625081.77-247893.84)/B11</f>
        <v>2.0385841248976777</v>
      </c>
      <c r="D11" s="24">
        <v>14129</v>
      </c>
      <c r="E11" s="30">
        <f>31748.31/D11</f>
        <v>2.2470316370585324</v>
      </c>
      <c r="F11" s="26">
        <v>0</v>
      </c>
      <c r="G11" s="34">
        <v>0</v>
      </c>
      <c r="H11" s="24">
        <v>5448</v>
      </c>
      <c r="I11" s="31">
        <v>2.3173</v>
      </c>
      <c r="J11" s="24">
        <v>3772098</v>
      </c>
      <c r="K11" s="53">
        <v>1.3617</v>
      </c>
      <c r="L11" s="29">
        <v>7081</v>
      </c>
      <c r="M11" s="30">
        <v>385.81277</v>
      </c>
      <c r="N11" s="24"/>
      <c r="O11" s="30"/>
      <c r="P11" s="12">
        <f t="shared" si="1"/>
        <v>4467236</v>
      </c>
      <c r="Q11" s="10">
        <f t="shared" si="2"/>
        <v>7081</v>
      </c>
      <c r="R11" s="11">
        <f t="shared" si="0"/>
        <v>2.079578280925834</v>
      </c>
    </row>
    <row r="12" spans="1:18" ht="12.75">
      <c r="A12" s="6" t="s">
        <v>7</v>
      </c>
      <c r="B12" s="24">
        <v>727179</v>
      </c>
      <c r="C12" s="30">
        <f>(1779849-271502.39)/B12</f>
        <v>2.0742439069335057</v>
      </c>
      <c r="D12" s="24">
        <v>10419</v>
      </c>
      <c r="E12" s="30">
        <f>21760.5/D12</f>
        <v>2.0885401670025914</v>
      </c>
      <c r="F12" s="26">
        <v>0</v>
      </c>
      <c r="G12" s="31">
        <v>0</v>
      </c>
      <c r="H12" s="24">
        <v>4200</v>
      </c>
      <c r="I12" s="31">
        <v>2.35202</v>
      </c>
      <c r="J12" s="24">
        <v>3648903</v>
      </c>
      <c r="K12" s="53">
        <v>1.38245</v>
      </c>
      <c r="L12" s="29">
        <v>6974</v>
      </c>
      <c r="M12" s="30">
        <v>399.55205</v>
      </c>
      <c r="N12" s="24"/>
      <c r="O12" s="30"/>
      <c r="P12" s="12">
        <f t="shared" si="1"/>
        <v>4390701</v>
      </c>
      <c r="Q12" s="10">
        <f t="shared" si="2"/>
        <v>6974</v>
      </c>
      <c r="R12" s="11">
        <f t="shared" si="0"/>
        <v>2.134257728560883</v>
      </c>
    </row>
    <row r="13" spans="1:18" ht="12.75">
      <c r="A13" s="6" t="s">
        <v>13</v>
      </c>
      <c r="B13" s="24">
        <v>739592</v>
      </c>
      <c r="C13" s="30">
        <f>(1636300.85-249605.22)/B13</f>
        <v>1.8749467679477334</v>
      </c>
      <c r="D13" s="24">
        <v>10614</v>
      </c>
      <c r="E13" s="30">
        <f>22174.16/D13</f>
        <v>2.089142641793857</v>
      </c>
      <c r="F13" s="26">
        <v>902335</v>
      </c>
      <c r="G13" s="31">
        <v>1.39383</v>
      </c>
      <c r="H13" s="24">
        <v>3264</v>
      </c>
      <c r="I13" s="31">
        <v>2.33763</v>
      </c>
      <c r="J13" s="24">
        <v>4846506</v>
      </c>
      <c r="K13" s="53">
        <v>1.36107</v>
      </c>
      <c r="L13" s="29">
        <v>9912</v>
      </c>
      <c r="M13" s="30">
        <v>364.39288</v>
      </c>
      <c r="N13" s="24">
        <v>1664</v>
      </c>
      <c r="O13" s="30">
        <f>3.25/1.18</f>
        <v>2.7542372881355934</v>
      </c>
      <c r="P13" s="12">
        <f>B13+D13+F13+H13+J13+N13</f>
        <v>6503975</v>
      </c>
      <c r="Q13" s="10">
        <f t="shared" si="2"/>
        <v>9912</v>
      </c>
      <c r="R13" s="11">
        <f>(B13*C13+D13*E13+F13*G13+H13*I13+J13*K13+L13*M13+N13*O13)/P13</f>
        <v>1.9814160734316257</v>
      </c>
    </row>
    <row r="14" spans="1:18" ht="12.75">
      <c r="A14" s="6" t="s">
        <v>14</v>
      </c>
      <c r="B14" s="24">
        <v>831754</v>
      </c>
      <c r="C14" s="25">
        <f>(1798139.7-274292.5)/B14</f>
        <v>1.8320888147216605</v>
      </c>
      <c r="D14" s="24">
        <v>16308</v>
      </c>
      <c r="E14" s="30">
        <f>(37765.34/D14)</f>
        <v>2.3157554574441988</v>
      </c>
      <c r="F14" s="26">
        <v>1542088</v>
      </c>
      <c r="G14" s="31">
        <v>1.28768</v>
      </c>
      <c r="H14" s="32">
        <v>3480</v>
      </c>
      <c r="I14" s="31">
        <v>2.3168</v>
      </c>
      <c r="J14" s="24">
        <v>7693739</v>
      </c>
      <c r="K14" s="53">
        <v>1.27737</v>
      </c>
      <c r="L14" s="29">
        <v>16255</v>
      </c>
      <c r="M14" s="30">
        <v>433.08817</v>
      </c>
      <c r="N14" s="24">
        <v>690</v>
      </c>
      <c r="O14" s="30">
        <f>3.25/1.18</f>
        <v>2.7542372881355934</v>
      </c>
      <c r="P14" s="12">
        <f>B14+D14+F14+H14+J14+N14</f>
        <v>10088059</v>
      </c>
      <c r="Q14" s="10">
        <f t="shared" si="2"/>
        <v>16255</v>
      </c>
      <c r="R14" s="11">
        <f>(B14*C14+D14*E14+F14*G14+H14*I14+J14*K14+L14*M14+N14*O14)/P14</f>
        <v>2.024660134655121</v>
      </c>
    </row>
    <row r="15" spans="1:18" ht="12.75">
      <c r="A15" s="6" t="s">
        <v>15</v>
      </c>
      <c r="B15" s="24">
        <v>942570</v>
      </c>
      <c r="C15" s="30">
        <f>(2160446.38-329559.62)/B15</f>
        <v>1.9424411555640428</v>
      </c>
      <c r="D15" s="24">
        <v>13271</v>
      </c>
      <c r="E15" s="30">
        <f>29353.55/D15</f>
        <v>2.2118566799789012</v>
      </c>
      <c r="F15" s="26">
        <v>1647269</v>
      </c>
      <c r="G15" s="31">
        <v>1.24791</v>
      </c>
      <c r="H15" s="24">
        <v>3240</v>
      </c>
      <c r="I15" s="31">
        <v>2.30673</v>
      </c>
      <c r="J15" s="24">
        <v>8745819</v>
      </c>
      <c r="K15" s="53">
        <v>1.2243</v>
      </c>
      <c r="L15" s="29">
        <v>15025</v>
      </c>
      <c r="M15" s="30">
        <v>435.74613</v>
      </c>
      <c r="N15" s="24">
        <v>744</v>
      </c>
      <c r="O15" s="30">
        <f>3.25/1.18</f>
        <v>2.7542372881355934</v>
      </c>
      <c r="P15" s="12">
        <f>B15+D15+F15+H15+J15+N15</f>
        <v>11352913</v>
      </c>
      <c r="Q15" s="10">
        <f t="shared" si="2"/>
        <v>15025</v>
      </c>
      <c r="R15" s="11">
        <f>(B15*C15+D15*E15+F15*G15+H15*I15+J15*K15+L15*M15+N15*O15)/P15</f>
        <v>1.8656003556516614</v>
      </c>
    </row>
    <row r="16" spans="1:18" ht="13.5" thickBot="1">
      <c r="A16" s="7" t="s">
        <v>16</v>
      </c>
      <c r="B16" s="35">
        <v>976181</v>
      </c>
      <c r="C16" s="36">
        <f>(2106595.89-321345.14)/B16</f>
        <v>1.828811204069737</v>
      </c>
      <c r="D16" s="35">
        <v>15369</v>
      </c>
      <c r="E16" s="36">
        <f>35367.71/D16</f>
        <v>2.301236905459041</v>
      </c>
      <c r="F16" s="37">
        <v>1681576</v>
      </c>
      <c r="G16" s="38">
        <v>1.2517</v>
      </c>
      <c r="H16" s="35">
        <v>2448</v>
      </c>
      <c r="I16" s="31">
        <v>2.13294</v>
      </c>
      <c r="J16" s="39">
        <v>9453378</v>
      </c>
      <c r="K16" s="54">
        <v>1.20705</v>
      </c>
      <c r="L16" s="40">
        <v>16248</v>
      </c>
      <c r="M16" s="41">
        <v>384.86606</v>
      </c>
      <c r="N16" s="39">
        <v>583</v>
      </c>
      <c r="O16" s="30">
        <f>3.25/1.18</f>
        <v>2.7542372881355934</v>
      </c>
      <c r="P16" s="12">
        <f>B16+D16+F16+H16+J16+N16</f>
        <v>12129535</v>
      </c>
      <c r="Q16" s="10">
        <f t="shared" si="2"/>
        <v>16248</v>
      </c>
      <c r="R16" s="11">
        <f>(B16*C16+D16*E16+F16*G16+H16*I16+J16*K16+L16*M16+N16*O16)/P16</f>
        <v>1.7804703935013981</v>
      </c>
    </row>
    <row r="17" spans="1:18" ht="16.5" customHeight="1" thickBot="1">
      <c r="A17" s="4" t="s">
        <v>9</v>
      </c>
      <c r="B17" s="42">
        <f>B5+B6+B7+B8+B9+B10+B11+B12+B13+B14+B15+B16</f>
        <v>9711938</v>
      </c>
      <c r="C17" s="14" t="s">
        <v>29</v>
      </c>
      <c r="D17" s="42">
        <f>D5+D6+D7+D8+D9+D10+D11+D12+D13+D14+D15+D16</f>
        <v>147055</v>
      </c>
      <c r="E17" s="14" t="s">
        <v>29</v>
      </c>
      <c r="F17" s="42">
        <f>F5+F6+F7+F8+F9+F10+F11+F12+F13+F14+F15+F16</f>
        <v>5802893</v>
      </c>
      <c r="G17" s="43" t="s">
        <v>29</v>
      </c>
      <c r="H17" s="42">
        <f>H5+H6+H7+H8+H9+H10+H11+H12+H13+H14+H15+H16</f>
        <v>220105</v>
      </c>
      <c r="I17" s="43" t="s">
        <v>29</v>
      </c>
      <c r="J17" s="42">
        <f>J5+J6+J7+J8+J9+J10+J11+J12+J13+J14+J15+J16</f>
        <v>88548577</v>
      </c>
      <c r="K17" s="44" t="s">
        <v>29</v>
      </c>
      <c r="L17" s="45">
        <f>(L5+L6+L7+L8+L9+L10+L11+L12+L13)/12</f>
        <v>9656.166666666666</v>
      </c>
      <c r="M17" s="14" t="s">
        <v>29</v>
      </c>
      <c r="N17" s="42">
        <f>N5+N6+N7+N8+N9+N10+N11+N12+N13+N14+N15+N16</f>
        <v>3681</v>
      </c>
      <c r="O17" s="55" t="s">
        <v>29</v>
      </c>
      <c r="P17" s="13">
        <f>SUM(P5:P16)</f>
        <v>104434249</v>
      </c>
      <c r="Q17" s="13">
        <f>SUM(Q5:Q16)/12</f>
        <v>13616.833333333334</v>
      </c>
      <c r="R17" s="14" t="s">
        <v>29</v>
      </c>
    </row>
    <row r="20" spans="2:19" ht="12.75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  <c r="Q20" s="58"/>
      <c r="R20" s="58"/>
      <c r="S20" s="56"/>
    </row>
  </sheetData>
  <sheetProtection/>
  <mergeCells count="8">
    <mergeCell ref="A3:A4"/>
    <mergeCell ref="P3:R3"/>
    <mergeCell ref="D3:E3"/>
    <mergeCell ref="H3:I3"/>
    <mergeCell ref="B3:C3"/>
    <mergeCell ref="F3:G3"/>
    <mergeCell ref="J3:M3"/>
    <mergeCell ref="N3:O3"/>
  </mergeCells>
  <printOptions/>
  <pageMargins left="0.3937007874015748" right="0.3937007874015748" top="0.984251968503937" bottom="0.984251968503937" header="0" footer="0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</dc:creator>
  <cp:keywords/>
  <dc:description/>
  <cp:lastModifiedBy>Напалкова </cp:lastModifiedBy>
  <cp:lastPrinted>2016-10-19T07:05:14Z</cp:lastPrinted>
  <dcterms:created xsi:type="dcterms:W3CDTF">2010-10-04T09:50:11Z</dcterms:created>
  <dcterms:modified xsi:type="dcterms:W3CDTF">2017-01-19T13:23:49Z</dcterms:modified>
  <cp:category/>
  <cp:version/>
  <cp:contentType/>
  <cp:contentStatus/>
</cp:coreProperties>
</file>