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1355" windowHeight="8325" activeTab="11"/>
  </bookViews>
  <sheets>
    <sheet name=" 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<sst xmlns="http://schemas.openxmlformats.org/spreadsheetml/2006/main" count="2243" uniqueCount="99">
  <si>
    <t>ВН</t>
  </si>
  <si>
    <t>СН1</t>
  </si>
  <si>
    <t>СН2</t>
  </si>
  <si>
    <t>НН</t>
  </si>
  <si>
    <t>ООО "ВКМ-Сталь"</t>
  </si>
  <si>
    <t>ООО "Энерголин"</t>
  </si>
  <si>
    <t>МП г.о. Саранск "Горсвет"</t>
  </si>
  <si>
    <t>население всего</t>
  </si>
  <si>
    <t>город</t>
  </si>
  <si>
    <t>село</t>
  </si>
  <si>
    <t xml:space="preserve">Прочие </t>
  </si>
  <si>
    <t>НАСЕЛЕНИЕ ВСЕГО</t>
  </si>
  <si>
    <t>ЯНВАРЬ</t>
  </si>
  <si>
    <t>ОАО "Ремстроймаш"</t>
  </si>
  <si>
    <t>ООО "Производственная фирма "Жилкоммунстрой"</t>
  </si>
  <si>
    <t>ФКП "Саранский Механическийзавод"</t>
  </si>
  <si>
    <t xml:space="preserve">ООО "ТеплоЛюкс-М" </t>
  </si>
  <si>
    <t xml:space="preserve">Филиал ООО "Системы жизнеобеспечения РМ" </t>
  </si>
  <si>
    <t>МП Лямбирского района РМ "Жилищно-коммунальное хозяйство "Елховское"</t>
  </si>
  <si>
    <t>ООО "Электротеплосеть" Зубово-Поляна</t>
  </si>
  <si>
    <t>Филиал ОАО "МРСК Волги" - "Мордовэнерго"</t>
  </si>
  <si>
    <t>Электроэнергия прочие и бюджетные потребители ВСЕГО:</t>
  </si>
  <si>
    <t>Генерация, э/энергия</t>
  </si>
  <si>
    <t>Генерация, мощность. МВт</t>
  </si>
  <si>
    <t>Прочие одноставочная услуга э/энергия</t>
  </si>
  <si>
    <t xml:space="preserve">Прочие, двухставочная усуга э/энергия </t>
  </si>
  <si>
    <t xml:space="preserve">Прочие, двухставочная усуга мощность </t>
  </si>
  <si>
    <t>Филиал ОАО "МРСК Волги" - "Мордовэнерго",  Мощность</t>
  </si>
  <si>
    <t>Мощность</t>
  </si>
  <si>
    <t>Сетевая</t>
  </si>
  <si>
    <t>Прочие, двухставочная усуга э/энергия, ООО "Сигма-плюс", ООО "Авалон-С"</t>
  </si>
  <si>
    <t xml:space="preserve">Прочие, двухставочная усуга Сетевая мощность </t>
  </si>
  <si>
    <t>ООО "Авалон-С" электроэнергия</t>
  </si>
  <si>
    <t>ООО "Авалон-С" сетевая Р</t>
  </si>
  <si>
    <t>ООО "Сигма-плюс" электроэнергия</t>
  </si>
  <si>
    <t>ООО "Сигма-плюс" сетевая Р</t>
  </si>
  <si>
    <r>
      <t xml:space="preserve">Прочие, двухставочная усуга э/энергия, </t>
    </r>
    <r>
      <rPr>
        <b/>
        <i/>
        <sz val="12"/>
        <rFont val="Arial"/>
        <family val="2"/>
      </rPr>
      <t>ЗАО "Рузаевский стекольный завод"</t>
    </r>
  </si>
  <si>
    <t>в т.ч. Мощность по Генерации</t>
  </si>
  <si>
    <t>Прочие, двухставочная усуга э/энергия "ООО "ЭМ-Пласт"</t>
  </si>
  <si>
    <t>город с электроплитами</t>
  </si>
  <si>
    <t>Одноставочная услуга э/энергия</t>
  </si>
  <si>
    <t>Двухставочная усуга Мощность</t>
  </si>
  <si>
    <t xml:space="preserve">Двухставочная усуга Э/энергия </t>
  </si>
  <si>
    <t xml:space="preserve">ОАО «Федеральная сетевая компания Единой энергетической системы» (ОАО «ФСК ЕЭС») </t>
  </si>
  <si>
    <t xml:space="preserve">Мощность </t>
  </si>
  <si>
    <t xml:space="preserve">ОАО «ФСК ЕЭС» Э/энергия </t>
  </si>
  <si>
    <t>ОАО «ФСК ЕЭС» Мощность</t>
  </si>
  <si>
    <t>ОАО "Мордовская электротеплосетевая компания" (Тимофеев)</t>
  </si>
  <si>
    <t>ООО "Мордовская сетевая компания" (Никоненко)</t>
  </si>
  <si>
    <t>Прочие, двухставочная усуга э/энергия "ООО "Плайтера"</t>
  </si>
  <si>
    <t>Прочие, двухставочная усуга э/энергия "ООО "СЗЛК"</t>
  </si>
  <si>
    <t>УСЛУГА МРСК</t>
  </si>
  <si>
    <t>УСЛУГА Прочие</t>
  </si>
  <si>
    <t>УСЛУГА ФСК</t>
  </si>
  <si>
    <t>ЯНВАРЬ 2015 г.</t>
  </si>
  <si>
    <t>ЗАО ТФ "ВАТТ" - ОАО "Биохимик"</t>
  </si>
  <si>
    <t>ООО "ДСК-Энерго"</t>
  </si>
  <si>
    <t>ООО "Авалон-С"</t>
  </si>
  <si>
    <t xml:space="preserve">Филиал ОАО "РЖД" Трансэнерго Куйбышевская дирекция по энергообеспечению </t>
  </si>
  <si>
    <t>ОАО "Оборонэнерго" Филиал "Приволжский" (1 точка-котельная Ковылкино)</t>
  </si>
  <si>
    <t xml:space="preserve">Филиал ОАО "РЖД" Трансэнерго Горьковская дирекция по энергообеспечению </t>
  </si>
  <si>
    <t>Мордовский филиал ООО "Региональная Распределительная Сетевая Компания"</t>
  </si>
  <si>
    <t>ОАО "Рузаевские электрические сети"</t>
  </si>
  <si>
    <t>Фактический полезный отпуск электроэнергии и мощности по тарифным группам в разрезе ТСО ( территориальных сетевых организаций ) с выделением населения</t>
  </si>
  <si>
    <t>ФЕВРАЛЬ</t>
  </si>
  <si>
    <t>ФЕВРАЛЬ  2015 г.</t>
  </si>
  <si>
    <t>МАРТ</t>
  </si>
  <si>
    <t>УСЛУГА всего</t>
  </si>
  <si>
    <t>МАРТ  2015 г.</t>
  </si>
  <si>
    <t>АПРЕЛЬ  2015 г.</t>
  </si>
  <si>
    <t>АПРЕЛЬ</t>
  </si>
  <si>
    <t>Прочие, двухставочная усуга э/энергия, ЗАО "Рузаевский стекольный завод"</t>
  </si>
  <si>
    <t>МАЙ  2015 г.</t>
  </si>
  <si>
    <t>МАЙ</t>
  </si>
  <si>
    <t>АВГУСТ</t>
  </si>
  <si>
    <t>Прочие, двухставочная усуга э/энергия ОАО "ВымпелКом"</t>
  </si>
  <si>
    <t>Прочие, двухставочная усуга э/энергия ООО "Магнитэнерго" М-н "Мегабайт" (ул.Кутузова, 2а) 1650835</t>
  </si>
  <si>
    <t>Прочие, двухставочная усуга э/энергия ОАО "ВымпелКом" 1650980</t>
  </si>
  <si>
    <t>Прочие, двухставочная усуга э/энергия, ЗАО "Рузаевский стекольный завод" ОАО "ВымпелКом" СН-2 - 165       , НН - 1651137</t>
  </si>
  <si>
    <t>Прочие, двухставочная усуга э/энергия, ООО "Сигма-плюс"</t>
  </si>
  <si>
    <t xml:space="preserve">Прочие, двухставочная усуга э/энергия ООО "Магнитэнерго" М-н "Шабёр" - СН-2(1650835), ОАО "ВымпелКом"- НН(1650974) </t>
  </si>
  <si>
    <t xml:space="preserve">Прочие, двухставочная усуга э/энергия "ООО "Плайтера", ОАО "ВымпелКом"- НН(1651011) </t>
  </si>
  <si>
    <t>Прочие, двухставочная усуга э/энергия ОАО "ВымпелКом" 1651119</t>
  </si>
  <si>
    <t>ОАО "Саранский завод автосамосвалов"</t>
  </si>
  <si>
    <t>Мощность по Генерации</t>
  </si>
  <si>
    <t>АВГУСТ 2015 г.</t>
  </si>
  <si>
    <t>ИЮЛЬ</t>
  </si>
  <si>
    <t>ИЮЛЬ  2015 г.</t>
  </si>
  <si>
    <t>ИЮНЬ</t>
  </si>
  <si>
    <t>ИЮНЬ  2015 г.</t>
  </si>
  <si>
    <t>СЕНТЯБРЬ</t>
  </si>
  <si>
    <t>СЕНТЯБРЬ  2015 г.</t>
  </si>
  <si>
    <t>ОКТЯБРЬ  2015 г.</t>
  </si>
  <si>
    <t>ОКТЯБРЬ</t>
  </si>
  <si>
    <t>Прочие, двухставочная усуга э/энергия ООО "Магнитэнерго" М-н "Мегабайт" (ул.Кутузова, 2а) 1650832</t>
  </si>
  <si>
    <t>НОЯБРЬ</t>
  </si>
  <si>
    <t>НОЯБРЬ  2015 г.</t>
  </si>
  <si>
    <t>ДЕКАБРЬ</t>
  </si>
  <si>
    <t>ДЕКАБРЬ  2015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</si>
</sst>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0"/>
    <numFmt numFmtId="186" formatCode="0.000000"/>
    <numFmt numFmtId="187" formatCode="0.0%"/>
    <numFmt numFmtId="188" formatCode="0.000%"/>
    <numFmt numFmtId="189" formatCode="#,##0.0"/>
    <numFmt numFmtId="190" formatCode="#,##0.0000"/>
    <numFmt numFmtId="191" formatCode="0.00000"/>
    <numFmt numFmtId="192" formatCode="0.00000000"/>
    <numFmt numFmtId="193" formatCode="0.0"/>
    <numFmt numFmtId="194" formatCode="#,##0.00000"/>
    <numFmt numFmtId="195" formatCode="0.000"/>
  </numFmts>
  <fonts count="56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name val="Arial Cyr"/>
      <family val="0"/>
    </font>
    <font>
      <sz val="18"/>
      <name val="Arial Cyr"/>
      <family val="0"/>
    </font>
    <font>
      <sz val="10"/>
      <name val="Arial"/>
      <family val="2"/>
    </font>
    <font>
      <i/>
      <sz val="12"/>
      <name val="Arial"/>
      <family val="2"/>
    </font>
    <font>
      <i/>
      <sz val="12"/>
      <name val="Arial Cyr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1"/>
      <name val="Times New Roman"/>
      <family val="1"/>
    </font>
    <font>
      <b/>
      <sz val="18"/>
      <color indexed="12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1">
    <xf numFmtId="4" fontId="29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9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23" fillId="0" borderId="0">
      <alignment horizontal="left"/>
      <protection/>
    </xf>
    <xf numFmtId="0" fontId="23" fillId="0" borderId="0">
      <alignment horizontal="left"/>
      <protection/>
    </xf>
    <xf numFmtId="0" fontId="23" fillId="0" borderId="0">
      <alignment horizontal="left"/>
      <protection/>
    </xf>
    <xf numFmtId="0" fontId="0" fillId="0" borderId="0">
      <alignment/>
      <protection/>
    </xf>
    <xf numFmtId="0" fontId="23" fillId="0" borderId="0">
      <alignment horizontal="left"/>
      <protection/>
    </xf>
    <xf numFmtId="0" fontId="1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81">
    <xf numFmtId="0" fontId="0" fillId="0" borderId="0" xfId="0" applyNumberFormat="1" applyAlignment="1">
      <alignment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84" fontId="4" fillId="0" borderId="12" xfId="0" applyNumberFormat="1" applyFont="1" applyFill="1" applyBorder="1" applyAlignment="1">
      <alignment vertical="center" wrapText="1"/>
    </xf>
    <xf numFmtId="184" fontId="6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184" fontId="5" fillId="0" borderId="14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vertical="center" wrapText="1"/>
    </xf>
    <xf numFmtId="184" fontId="4" fillId="0" borderId="17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2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 vertical="center" wrapText="1"/>
    </xf>
    <xf numFmtId="185" fontId="21" fillId="0" borderId="11" xfId="0" applyNumberFormat="1" applyFont="1" applyFill="1" applyBorder="1" applyAlignment="1">
      <alignment vertical="center"/>
    </xf>
    <xf numFmtId="184" fontId="21" fillId="0" borderId="11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vertical="center" wrapText="1"/>
    </xf>
    <xf numFmtId="184" fontId="5" fillId="0" borderId="19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184" fontId="4" fillId="0" borderId="21" xfId="0" applyNumberFormat="1" applyFont="1" applyFill="1" applyBorder="1" applyAlignment="1">
      <alignment vertical="center"/>
    </xf>
    <xf numFmtId="184" fontId="8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3" fontId="9" fillId="0" borderId="22" xfId="0" applyNumberFormat="1" applyFont="1" applyFill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15" fillId="0" borderId="11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84" fontId="18" fillId="0" borderId="0" xfId="0" applyNumberFormat="1" applyFont="1" applyFill="1" applyAlignment="1">
      <alignment/>
    </xf>
    <xf numFmtId="185" fontId="18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184" fontId="20" fillId="0" borderId="10" xfId="0" applyNumberFormat="1" applyFont="1" applyFill="1" applyBorder="1" applyAlignment="1">
      <alignment vertical="center" wrapText="1"/>
    </xf>
    <xf numFmtId="184" fontId="4" fillId="0" borderId="18" xfId="0" applyNumberFormat="1" applyFont="1" applyFill="1" applyBorder="1" applyAlignment="1">
      <alignment vertical="center"/>
    </xf>
    <xf numFmtId="184" fontId="4" fillId="0" borderId="2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 wrapText="1"/>
    </xf>
    <xf numFmtId="184" fontId="8" fillId="0" borderId="11" xfId="0" applyNumberFormat="1" applyFont="1" applyFill="1" applyBorder="1" applyAlignment="1">
      <alignment vertical="center" wrapText="1"/>
    </xf>
    <xf numFmtId="184" fontId="5" fillId="0" borderId="0" xfId="0" applyNumberFormat="1" applyFont="1" applyFill="1" applyAlignment="1">
      <alignment vertical="center"/>
    </xf>
    <xf numFmtId="184" fontId="15" fillId="0" borderId="25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/>
    </xf>
    <xf numFmtId="184" fontId="5" fillId="0" borderId="26" xfId="0" applyNumberFormat="1" applyFont="1" applyFill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84" fontId="5" fillId="0" borderId="2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wrapText="1"/>
    </xf>
    <xf numFmtId="184" fontId="17" fillId="0" borderId="11" xfId="0" applyNumberFormat="1" applyFont="1" applyFill="1" applyBorder="1" applyAlignment="1">
      <alignment vertical="center" wrapText="1"/>
    </xf>
    <xf numFmtId="184" fontId="16" fillId="0" borderId="11" xfId="0" applyNumberFormat="1" applyFont="1" applyFill="1" applyBorder="1" applyAlignment="1">
      <alignment vertical="center" wrapText="1"/>
    </xf>
    <xf numFmtId="184" fontId="17" fillId="0" borderId="12" xfId="0" applyNumberFormat="1" applyFont="1" applyFill="1" applyBorder="1" applyAlignment="1">
      <alignment vertical="center" wrapText="1"/>
    </xf>
    <xf numFmtId="194" fontId="18" fillId="0" borderId="0" xfId="0" applyNumberFormat="1" applyFont="1" applyFill="1" applyAlignment="1">
      <alignment vertical="center"/>
    </xf>
    <xf numFmtId="185" fontId="24" fillId="0" borderId="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184" fontId="15" fillId="0" borderId="11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/>
    </xf>
    <xf numFmtId="184" fontId="17" fillId="0" borderId="11" xfId="53" applyNumberFormat="1" applyFont="1" applyFill="1" applyBorder="1" applyAlignment="1">
      <alignment horizontal="right" vertical="center"/>
      <protection/>
    </xf>
    <xf numFmtId="3" fontId="1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0" fontId="8" fillId="0" borderId="22" xfId="0" applyNumberFormat="1" applyFont="1" applyFill="1" applyBorder="1" applyAlignment="1">
      <alignment horizontal="left" vertical="center" wrapText="1"/>
    </xf>
    <xf numFmtId="184" fontId="5" fillId="0" borderId="30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left" vertical="center" wrapText="1"/>
    </xf>
    <xf numFmtId="184" fontId="4" fillId="0" borderId="13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/>
    </xf>
    <xf numFmtId="184" fontId="4" fillId="0" borderId="33" xfId="0" applyNumberFormat="1" applyFont="1" applyFill="1" applyBorder="1" applyAlignment="1">
      <alignment vertical="center"/>
    </xf>
    <xf numFmtId="184" fontId="4" fillId="0" borderId="34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left" vertical="center" wrapText="1"/>
    </xf>
    <xf numFmtId="184" fontId="5" fillId="0" borderId="3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0" fontId="8" fillId="0" borderId="36" xfId="0" applyNumberFormat="1" applyFont="1" applyFill="1" applyBorder="1" applyAlignment="1">
      <alignment horizontal="left" vertical="center" wrapText="1"/>
    </xf>
    <xf numFmtId="184" fontId="4" fillId="0" borderId="37" xfId="0" applyNumberFormat="1" applyFont="1" applyFill="1" applyBorder="1" applyAlignment="1">
      <alignment vertical="center"/>
    </xf>
    <xf numFmtId="184" fontId="4" fillId="0" borderId="24" xfId="0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left" vertical="center" wrapText="1"/>
    </xf>
    <xf numFmtId="184" fontId="5" fillId="0" borderId="2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185" fontId="4" fillId="0" borderId="11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184" fontId="4" fillId="0" borderId="12" xfId="0" applyNumberFormat="1" applyFont="1" applyFill="1" applyBorder="1" applyAlignment="1">
      <alignment vertical="center" wrapText="1"/>
    </xf>
    <xf numFmtId="184" fontId="4" fillId="0" borderId="13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/>
    </xf>
    <xf numFmtId="184" fontId="4" fillId="0" borderId="33" xfId="0" applyNumberFormat="1" applyFont="1" applyFill="1" applyBorder="1" applyAlignment="1">
      <alignment vertical="center"/>
    </xf>
    <xf numFmtId="184" fontId="4" fillId="0" borderId="34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184" fontId="4" fillId="0" borderId="21" xfId="0" applyNumberFormat="1" applyFont="1" applyFill="1" applyBorder="1" applyAlignment="1">
      <alignment vertical="center"/>
    </xf>
    <xf numFmtId="184" fontId="4" fillId="0" borderId="23" xfId="0" applyNumberFormat="1" applyFont="1" applyFill="1" applyBorder="1" applyAlignment="1">
      <alignment vertical="center"/>
    </xf>
    <xf numFmtId="184" fontId="4" fillId="0" borderId="37" xfId="0" applyNumberFormat="1" applyFont="1" applyFill="1" applyBorder="1" applyAlignment="1">
      <alignment vertical="center"/>
    </xf>
    <xf numFmtId="184" fontId="4" fillId="0" borderId="24" xfId="0" applyNumberFormat="1" applyFont="1" applyFill="1" applyBorder="1" applyAlignment="1">
      <alignment vertical="center"/>
    </xf>
    <xf numFmtId="184" fontId="8" fillId="0" borderId="25" xfId="0" applyNumberFormat="1" applyFont="1" applyFill="1" applyBorder="1" applyAlignment="1">
      <alignment vertical="center"/>
    </xf>
    <xf numFmtId="184" fontId="7" fillId="0" borderId="25" xfId="0" applyNumberFormat="1" applyFont="1" applyFill="1" applyBorder="1" applyAlignment="1">
      <alignment vertical="center"/>
    </xf>
    <xf numFmtId="184" fontId="7" fillId="0" borderId="40" xfId="0" applyNumberFormat="1" applyFont="1" applyFill="1" applyBorder="1" applyAlignment="1">
      <alignment vertical="center"/>
    </xf>
    <xf numFmtId="185" fontId="7" fillId="0" borderId="25" xfId="0" applyNumberFormat="1" applyFont="1" applyFill="1" applyBorder="1" applyAlignment="1">
      <alignment vertical="center"/>
    </xf>
    <xf numFmtId="185" fontId="7" fillId="0" borderId="40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184" fontId="17" fillId="0" borderId="25" xfId="0" applyNumberFormat="1" applyFont="1" applyFill="1" applyBorder="1" applyAlignment="1">
      <alignment vertical="center"/>
    </xf>
    <xf numFmtId="184" fontId="17" fillId="0" borderId="40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center" wrapText="1"/>
    </xf>
    <xf numFmtId="0" fontId="25" fillId="0" borderId="0" xfId="0" applyNumberFormat="1" applyFont="1" applyFill="1" applyBorder="1" applyAlignment="1">
      <alignment/>
    </xf>
    <xf numFmtId="184" fontId="4" fillId="0" borderId="41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84" fontId="4" fillId="0" borderId="19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184" fontId="15" fillId="0" borderId="12" xfId="0" applyNumberFormat="1" applyFont="1" applyFill="1" applyBorder="1" applyAlignment="1">
      <alignment vertical="center" wrapText="1"/>
    </xf>
    <xf numFmtId="184" fontId="15" fillId="0" borderId="10" xfId="0" applyNumberFormat="1" applyFont="1" applyFill="1" applyBorder="1" applyAlignment="1">
      <alignment vertical="center"/>
    </xf>
    <xf numFmtId="184" fontId="16" fillId="0" borderId="11" xfId="0" applyNumberFormat="1" applyFont="1" applyFill="1" applyBorder="1" applyAlignment="1">
      <alignment vertical="center"/>
    </xf>
    <xf numFmtId="184" fontId="16" fillId="0" borderId="12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vertical="center"/>
    </xf>
    <xf numFmtId="185" fontId="6" fillId="0" borderId="12" xfId="0" applyNumberFormat="1" applyFont="1" applyFill="1" applyBorder="1" applyAlignment="1">
      <alignment vertical="center"/>
    </xf>
    <xf numFmtId="184" fontId="16" fillId="0" borderId="10" xfId="0" applyNumberFormat="1" applyFont="1" applyFill="1" applyBorder="1" applyAlignment="1">
      <alignment vertical="center"/>
    </xf>
    <xf numFmtId="185" fontId="16" fillId="0" borderId="11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 wrapText="1"/>
    </xf>
    <xf numFmtId="184" fontId="16" fillId="0" borderId="11" xfId="53" applyNumberFormat="1" applyFont="1" applyFill="1" applyBorder="1" applyAlignment="1">
      <alignment horizontal="right" vertical="center"/>
      <protection/>
    </xf>
    <xf numFmtId="184" fontId="4" fillId="0" borderId="11" xfId="60" applyNumberFormat="1" applyFont="1" applyFill="1" applyBorder="1" applyAlignment="1">
      <alignment horizontal="right" vertical="center"/>
      <protection/>
    </xf>
    <xf numFmtId="184" fontId="15" fillId="0" borderId="11" xfId="53" applyNumberFormat="1" applyFont="1" applyFill="1" applyBorder="1" applyAlignment="1">
      <alignment horizontal="right" vertical="center"/>
      <protection/>
    </xf>
    <xf numFmtId="184" fontId="4" fillId="0" borderId="14" xfId="0" applyNumberFormat="1" applyFont="1" applyFill="1" applyBorder="1" applyAlignment="1">
      <alignment vertical="center"/>
    </xf>
    <xf numFmtId="184" fontId="4" fillId="0" borderId="26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vertical="center"/>
    </xf>
    <xf numFmtId="184" fontId="4" fillId="0" borderId="27" xfId="0" applyNumberFormat="1" applyFont="1" applyFill="1" applyBorder="1" applyAlignment="1">
      <alignment vertical="center"/>
    </xf>
    <xf numFmtId="184" fontId="4" fillId="0" borderId="28" xfId="0" applyNumberFormat="1" applyFont="1" applyFill="1" applyBorder="1" applyAlignment="1">
      <alignment vertical="center"/>
    </xf>
    <xf numFmtId="184" fontId="4" fillId="0" borderId="35" xfId="0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vertical="center"/>
    </xf>
    <xf numFmtId="184" fontId="4" fillId="0" borderId="2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18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184" fontId="8" fillId="0" borderId="10" xfId="0" applyNumberFormat="1" applyFont="1" applyFill="1" applyBorder="1" applyAlignment="1">
      <alignment vertical="center"/>
    </xf>
    <xf numFmtId="184" fontId="5" fillId="0" borderId="42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16" fillId="0" borderId="10" xfId="0" applyNumberFormat="1" applyFont="1" applyFill="1" applyBorder="1" applyAlignment="1">
      <alignment vertical="center" wrapText="1"/>
    </xf>
    <xf numFmtId="184" fontId="16" fillId="0" borderId="12" xfId="0" applyNumberFormat="1" applyFont="1" applyFill="1" applyBorder="1" applyAlignment="1">
      <alignment vertical="center" wrapText="1"/>
    </xf>
    <xf numFmtId="184" fontId="16" fillId="0" borderId="11" xfId="0" applyNumberFormat="1" applyFont="1" applyFill="1" applyBorder="1" applyAlignment="1">
      <alignment vertical="center"/>
    </xf>
    <xf numFmtId="184" fontId="16" fillId="0" borderId="12" xfId="0" applyNumberFormat="1" applyFont="1" applyFill="1" applyBorder="1" applyAlignment="1">
      <alignment vertical="center"/>
    </xf>
    <xf numFmtId="184" fontId="8" fillId="0" borderId="10" xfId="0" applyNumberFormat="1" applyFont="1" applyFill="1" applyBorder="1" applyAlignment="1">
      <alignment vertical="center" wrapText="1"/>
    </xf>
    <xf numFmtId="184" fontId="17" fillId="0" borderId="10" xfId="0" applyNumberFormat="1" applyFont="1" applyFill="1" applyBorder="1" applyAlignment="1">
      <alignment vertical="center" wrapText="1"/>
    </xf>
    <xf numFmtId="184" fontId="21" fillId="0" borderId="10" xfId="0" applyNumberFormat="1" applyFont="1" applyFill="1" applyBorder="1" applyAlignment="1">
      <alignment vertical="center"/>
    </xf>
    <xf numFmtId="0" fontId="29" fillId="0" borderId="0" xfId="0" applyNumberFormat="1" applyFill="1" applyAlignment="1">
      <alignment vertical="center"/>
    </xf>
    <xf numFmtId="184" fontId="5" fillId="0" borderId="43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7" fillId="0" borderId="12" xfId="0" applyNumberFormat="1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vertical="center"/>
    </xf>
    <xf numFmtId="185" fontId="7" fillId="0" borderId="12" xfId="0" applyNumberFormat="1" applyFont="1" applyFill="1" applyBorder="1" applyAlignment="1">
      <alignment vertical="center"/>
    </xf>
    <xf numFmtId="184" fontId="17" fillId="0" borderId="11" xfId="0" applyNumberFormat="1" applyFont="1" applyFill="1" applyBorder="1" applyAlignment="1">
      <alignment vertical="center"/>
    </xf>
    <xf numFmtId="184" fontId="17" fillId="0" borderId="12" xfId="0" applyNumberFormat="1" applyFont="1" applyFill="1" applyBorder="1" applyAlignment="1">
      <alignment vertical="center"/>
    </xf>
    <xf numFmtId="184" fontId="5" fillId="0" borderId="44" xfId="0" applyNumberFormat="1" applyFont="1" applyFill="1" applyBorder="1" applyAlignment="1">
      <alignment vertical="center"/>
    </xf>
    <xf numFmtId="184" fontId="5" fillId="0" borderId="45" xfId="0" applyNumberFormat="1" applyFont="1" applyFill="1" applyBorder="1" applyAlignment="1">
      <alignment vertical="center"/>
    </xf>
    <xf numFmtId="184" fontId="5" fillId="0" borderId="46" xfId="0" applyNumberFormat="1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left" vertical="center" wrapText="1"/>
    </xf>
    <xf numFmtId="184" fontId="48" fillId="0" borderId="11" xfId="0" applyNumberFormat="1" applyFont="1" applyFill="1" applyBorder="1" applyAlignment="1">
      <alignment vertical="center"/>
    </xf>
    <xf numFmtId="184" fontId="48" fillId="0" borderId="12" xfId="0" applyNumberFormat="1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184" fontId="51" fillId="0" borderId="11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184" fontId="49" fillId="0" borderId="11" xfId="0" applyNumberFormat="1" applyFont="1" applyFill="1" applyBorder="1" applyAlignment="1">
      <alignment vertical="center"/>
    </xf>
    <xf numFmtId="184" fontId="49" fillId="0" borderId="11" xfId="0" applyNumberFormat="1" applyFont="1" applyFill="1" applyBorder="1" applyAlignment="1">
      <alignment vertical="center" wrapText="1"/>
    </xf>
    <xf numFmtId="184" fontId="50" fillId="0" borderId="11" xfId="0" applyNumberFormat="1" applyFont="1" applyFill="1" applyBorder="1" applyAlignment="1">
      <alignment vertical="center"/>
    </xf>
    <xf numFmtId="184" fontId="50" fillId="0" borderId="12" xfId="0" applyNumberFormat="1" applyFont="1" applyFill="1" applyBorder="1" applyAlignment="1">
      <alignment vertical="center"/>
    </xf>
    <xf numFmtId="185" fontId="51" fillId="0" borderId="11" xfId="0" applyNumberFormat="1" applyFont="1" applyFill="1" applyBorder="1" applyAlignment="1">
      <alignment vertical="center"/>
    </xf>
    <xf numFmtId="185" fontId="51" fillId="0" borderId="12" xfId="0" applyNumberFormat="1" applyFont="1" applyFill="1" applyBorder="1" applyAlignment="1">
      <alignment vertical="center"/>
    </xf>
    <xf numFmtId="184" fontId="48" fillId="0" borderId="47" xfId="0" applyNumberFormat="1" applyFont="1" applyFill="1" applyBorder="1" applyAlignment="1">
      <alignment vertical="center"/>
    </xf>
    <xf numFmtId="184" fontId="48" fillId="0" borderId="11" xfId="0" applyNumberFormat="1" applyFont="1" applyFill="1" applyBorder="1" applyAlignment="1">
      <alignment vertical="center" wrapText="1"/>
    </xf>
    <xf numFmtId="184" fontId="48" fillId="0" borderId="12" xfId="0" applyNumberFormat="1" applyFont="1" applyFill="1" applyBorder="1" applyAlignment="1">
      <alignment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184" fontId="48" fillId="0" borderId="13" xfId="0" applyNumberFormat="1" applyFont="1" applyFill="1" applyBorder="1" applyAlignment="1">
      <alignment vertical="center"/>
    </xf>
    <xf numFmtId="184" fontId="51" fillId="0" borderId="13" xfId="0" applyNumberFormat="1" applyFont="1" applyFill="1" applyBorder="1" applyAlignment="1">
      <alignment vertical="center"/>
    </xf>
    <xf numFmtId="184" fontId="51" fillId="0" borderId="15" xfId="0" applyNumberFormat="1" applyFont="1" applyFill="1" applyBorder="1" applyAlignment="1">
      <alignment vertical="center"/>
    </xf>
    <xf numFmtId="0" fontId="49" fillId="0" borderId="16" xfId="0" applyNumberFormat="1" applyFont="1" applyFill="1" applyBorder="1" applyAlignment="1">
      <alignment vertical="center" wrapText="1"/>
    </xf>
    <xf numFmtId="184" fontId="48" fillId="0" borderId="19" xfId="0" applyNumberFormat="1" applyFont="1" applyFill="1" applyBorder="1" applyAlignment="1">
      <alignment vertical="center"/>
    </xf>
    <xf numFmtId="184" fontId="48" fillId="0" borderId="18" xfId="0" applyNumberFormat="1" applyFont="1" applyFill="1" applyBorder="1" applyAlignment="1">
      <alignment vertical="center"/>
    </xf>
    <xf numFmtId="184" fontId="48" fillId="0" borderId="20" xfId="0" applyNumberFormat="1" applyFont="1" applyFill="1" applyBorder="1" applyAlignment="1">
      <alignment vertical="center"/>
    </xf>
    <xf numFmtId="3" fontId="48" fillId="0" borderId="29" xfId="0" applyNumberFormat="1" applyFont="1" applyFill="1" applyBorder="1" applyAlignment="1">
      <alignment vertical="center"/>
    </xf>
    <xf numFmtId="3" fontId="48" fillId="0" borderId="26" xfId="0" applyNumberFormat="1" applyFont="1" applyFill="1" applyBorder="1" applyAlignment="1">
      <alignment horizontal="center" vertical="center"/>
    </xf>
    <xf numFmtId="3" fontId="48" fillId="0" borderId="30" xfId="0" applyNumberFormat="1" applyFont="1" applyFill="1" applyBorder="1" applyAlignment="1">
      <alignment horizontal="center" vertical="center"/>
    </xf>
    <xf numFmtId="3" fontId="48" fillId="0" borderId="27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left" vertical="center" wrapText="1"/>
    </xf>
    <xf numFmtId="184" fontId="48" fillId="0" borderId="11" xfId="59" applyNumberFormat="1" applyFont="1" applyFill="1" applyBorder="1" applyAlignment="1">
      <alignment horizontal="right" vertical="center"/>
      <protection/>
    </xf>
    <xf numFmtId="184" fontId="50" fillId="0" borderId="11" xfId="0" applyNumberFormat="1" applyFont="1" applyFill="1" applyBorder="1" applyAlignment="1">
      <alignment vertical="center" wrapText="1"/>
    </xf>
    <xf numFmtId="184" fontId="50" fillId="0" borderId="12" xfId="0" applyNumberFormat="1" applyFont="1" applyFill="1" applyBorder="1" applyAlignment="1">
      <alignment vertical="center" wrapText="1"/>
    </xf>
    <xf numFmtId="184" fontId="49" fillId="0" borderId="12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 wrapText="1"/>
    </xf>
    <xf numFmtId="184" fontId="49" fillId="0" borderId="12" xfId="0" applyNumberFormat="1" applyFont="1" applyFill="1" applyBorder="1" applyAlignment="1">
      <alignment vertical="center" wrapText="1"/>
    </xf>
    <xf numFmtId="185" fontId="48" fillId="0" borderId="11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vertical="center"/>
    </xf>
    <xf numFmtId="184" fontId="49" fillId="0" borderId="11" xfId="53" applyNumberFormat="1" applyFont="1" applyFill="1" applyBorder="1" applyAlignment="1">
      <alignment horizontal="right" vertical="center"/>
      <protection/>
    </xf>
    <xf numFmtId="0" fontId="49" fillId="0" borderId="22" xfId="0" applyNumberFormat="1" applyFont="1" applyFill="1" applyBorder="1" applyAlignment="1">
      <alignment horizontal="left" vertical="center" wrapText="1"/>
    </xf>
    <xf numFmtId="184" fontId="48" fillId="0" borderId="26" xfId="0" applyNumberFormat="1" applyFont="1" applyFill="1" applyBorder="1" applyAlignment="1">
      <alignment vertical="center"/>
    </xf>
    <xf numFmtId="184" fontId="48" fillId="0" borderId="30" xfId="0" applyNumberFormat="1" applyFont="1" applyFill="1" applyBorder="1" applyAlignment="1">
      <alignment vertical="center"/>
    </xf>
    <xf numFmtId="184" fontId="48" fillId="0" borderId="27" xfId="0" applyNumberFormat="1" applyFont="1" applyFill="1" applyBorder="1" applyAlignment="1">
      <alignment vertical="center"/>
    </xf>
    <xf numFmtId="184" fontId="48" fillId="0" borderId="10" xfId="0" applyNumberFormat="1" applyFont="1" applyFill="1" applyBorder="1" applyAlignment="1">
      <alignment vertical="center"/>
    </xf>
    <xf numFmtId="0" fontId="48" fillId="0" borderId="31" xfId="0" applyNumberFormat="1" applyFont="1" applyFill="1" applyBorder="1" applyAlignment="1">
      <alignment horizontal="left" vertical="center" wrapText="1"/>
    </xf>
    <xf numFmtId="184" fontId="48" fillId="0" borderId="14" xfId="0" applyNumberFormat="1" applyFont="1" applyFill="1" applyBorder="1" applyAlignment="1">
      <alignment vertical="center"/>
    </xf>
    <xf numFmtId="184" fontId="48" fillId="0" borderId="15" xfId="0" applyNumberFormat="1" applyFont="1" applyFill="1" applyBorder="1" applyAlignment="1">
      <alignment vertical="center"/>
    </xf>
    <xf numFmtId="184" fontId="48" fillId="0" borderId="44" xfId="0" applyNumberFormat="1" applyFont="1" applyFill="1" applyBorder="1" applyAlignment="1">
      <alignment vertical="center"/>
    </xf>
    <xf numFmtId="184" fontId="48" fillId="0" borderId="45" xfId="0" applyNumberFormat="1" applyFont="1" applyFill="1" applyBorder="1" applyAlignment="1">
      <alignment vertical="center"/>
    </xf>
    <xf numFmtId="184" fontId="48" fillId="0" borderId="46" xfId="0" applyNumberFormat="1" applyFont="1" applyFill="1" applyBorder="1" applyAlignment="1">
      <alignment vertical="center"/>
    </xf>
    <xf numFmtId="0" fontId="49" fillId="0" borderId="31" xfId="0" applyNumberFormat="1" applyFont="1" applyFill="1" applyBorder="1" applyAlignment="1">
      <alignment horizontal="left" vertical="center" wrapText="1"/>
    </xf>
    <xf numFmtId="0" fontId="49" fillId="0" borderId="16" xfId="0" applyNumberFormat="1" applyFont="1" applyFill="1" applyBorder="1" applyAlignment="1">
      <alignment horizontal="left" vertical="center" wrapText="1"/>
    </xf>
    <xf numFmtId="0" fontId="49" fillId="0" borderId="32" xfId="0" applyNumberFormat="1" applyFont="1" applyFill="1" applyBorder="1" applyAlignment="1">
      <alignment horizontal="left" vertical="center" wrapText="1"/>
    </xf>
    <xf numFmtId="0" fontId="49" fillId="0" borderId="36" xfId="0" applyNumberFormat="1" applyFont="1" applyFill="1" applyBorder="1" applyAlignment="1">
      <alignment horizontal="left" vertical="center" wrapText="1"/>
    </xf>
    <xf numFmtId="184" fontId="48" fillId="0" borderId="23" xfId="0" applyNumberFormat="1" applyFont="1" applyFill="1" applyBorder="1" applyAlignment="1">
      <alignment vertical="center"/>
    </xf>
    <xf numFmtId="184" fontId="48" fillId="0" borderId="37" xfId="0" applyNumberFormat="1" applyFont="1" applyFill="1" applyBorder="1" applyAlignment="1">
      <alignment vertical="center"/>
    </xf>
    <xf numFmtId="184" fontId="48" fillId="0" borderId="24" xfId="0" applyNumberFormat="1" applyFont="1" applyFill="1" applyBorder="1" applyAlignment="1">
      <alignment vertical="center"/>
    </xf>
    <xf numFmtId="0" fontId="49" fillId="0" borderId="38" xfId="0" applyNumberFormat="1" applyFont="1" applyFill="1" applyBorder="1" applyAlignment="1">
      <alignment horizontal="left" vertical="center" wrapText="1"/>
    </xf>
    <xf numFmtId="0" fontId="49" fillId="0" borderId="39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Alignment="1">
      <alignment vertical="center"/>
    </xf>
    <xf numFmtId="184" fontId="48" fillId="0" borderId="0" xfId="0" applyNumberFormat="1" applyFont="1" applyFill="1" applyAlignment="1">
      <alignment vertical="center"/>
    </xf>
    <xf numFmtId="3" fontId="48" fillId="0" borderId="22" xfId="0" applyNumberFormat="1" applyFont="1" applyFill="1" applyBorder="1" applyAlignment="1">
      <alignment vertical="center"/>
    </xf>
    <xf numFmtId="184" fontId="48" fillId="0" borderId="22" xfId="0" applyNumberFormat="1" applyFont="1" applyFill="1" applyBorder="1" applyAlignment="1">
      <alignment vertical="center"/>
    </xf>
    <xf numFmtId="184" fontId="50" fillId="0" borderId="11" xfId="53" applyNumberFormat="1" applyFont="1" applyFill="1" applyBorder="1" applyAlignment="1">
      <alignment horizontal="right" vertical="center"/>
      <protection/>
    </xf>
    <xf numFmtId="184" fontId="48" fillId="0" borderId="28" xfId="0" applyNumberFormat="1" applyFont="1" applyFill="1" applyBorder="1" applyAlignment="1">
      <alignment vertical="center"/>
    </xf>
    <xf numFmtId="184" fontId="48" fillId="0" borderId="33" xfId="0" applyNumberFormat="1" applyFont="1" applyFill="1" applyBorder="1" applyAlignment="1">
      <alignment vertical="center"/>
    </xf>
    <xf numFmtId="184" fontId="48" fillId="0" borderId="34" xfId="0" applyNumberFormat="1" applyFont="1" applyFill="1" applyBorder="1" applyAlignment="1">
      <alignment vertical="center"/>
    </xf>
    <xf numFmtId="0" fontId="52" fillId="0" borderId="0" xfId="0" applyNumberFormat="1" applyFont="1" applyFill="1" applyAlignment="1">
      <alignment vertical="center"/>
    </xf>
    <xf numFmtId="3" fontId="53" fillId="0" borderId="22" xfId="0" applyNumberFormat="1" applyFont="1" applyFill="1" applyBorder="1" applyAlignment="1">
      <alignment vertical="center"/>
    </xf>
    <xf numFmtId="184" fontId="48" fillId="0" borderId="48" xfId="0" applyNumberFormat="1" applyFont="1" applyFill="1" applyBorder="1" applyAlignment="1">
      <alignment vertical="center"/>
    </xf>
    <xf numFmtId="184" fontId="49" fillId="0" borderId="11" xfId="57" applyNumberFormat="1" applyFont="1" applyFill="1" applyBorder="1" applyAlignment="1">
      <alignment horizontal="right" vertical="center"/>
      <protection/>
    </xf>
    <xf numFmtId="184" fontId="48" fillId="0" borderId="11" xfId="56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84" fontId="48" fillId="0" borderId="11" xfId="58" applyNumberFormat="1" applyFont="1" applyFill="1" applyBorder="1" applyAlignment="1">
      <alignment horizontal="right" vertical="center"/>
      <protection/>
    </xf>
    <xf numFmtId="184" fontId="55" fillId="0" borderId="12" xfId="0" applyNumberFormat="1" applyFont="1" applyFill="1" applyBorder="1" applyAlignment="1">
      <alignment vertical="center"/>
    </xf>
    <xf numFmtId="184" fontId="54" fillId="0" borderId="11" xfId="0" applyNumberFormat="1" applyFont="1" applyFill="1" applyBorder="1" applyAlignment="1">
      <alignment vertical="center"/>
    </xf>
    <xf numFmtId="184" fontId="51" fillId="0" borderId="11" xfId="0" applyNumberFormat="1" applyFont="1" applyFill="1" applyBorder="1" applyAlignment="1">
      <alignment vertical="center" wrapText="1"/>
    </xf>
    <xf numFmtId="184" fontId="54" fillId="0" borderId="11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июнь" xfId="56"/>
    <cellStyle name="Обычный_май" xfId="57"/>
    <cellStyle name="Обычный_октябрь" xfId="58"/>
    <cellStyle name="Обычный_Форма ПС (потери)" xfId="59"/>
    <cellStyle name="Обычный_январь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" sqref="F8"/>
    </sheetView>
  </sheetViews>
  <sheetFormatPr defaultColWidth="9.00390625" defaultRowHeight="12.75"/>
  <cols>
    <col min="1" max="1" width="67.875" style="0" customWidth="1"/>
    <col min="2" max="6" width="25.25390625" style="0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54</v>
      </c>
      <c r="B2" s="276"/>
      <c r="C2" s="276"/>
      <c r="D2" s="276"/>
      <c r="E2" s="276"/>
      <c r="F2" s="276"/>
      <c r="G2" s="63"/>
      <c r="H2" s="63"/>
    </row>
    <row r="3" spans="7:8" ht="24" thickBot="1">
      <c r="G3" s="63"/>
      <c r="H3" s="63"/>
    </row>
    <row r="4" spans="1:18" s="2" customFormat="1" ht="29.25" customHeight="1" thickBot="1">
      <c r="A4" s="79" t="s">
        <v>12</v>
      </c>
      <c r="B4" s="80"/>
      <c r="C4" s="81" t="s">
        <v>0</v>
      </c>
      <c r="D4" s="81" t="s">
        <v>1</v>
      </c>
      <c r="E4" s="81" t="s">
        <v>2</v>
      </c>
      <c r="F4" s="82" t="s">
        <v>3</v>
      </c>
      <c r="G4" s="54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44.25" customHeight="1">
      <c r="A5" s="83" t="s">
        <v>20</v>
      </c>
      <c r="B5" s="147">
        <f aca="true" t="shared" si="0" ref="B5:B68">C5+D5+E5+F5</f>
        <v>85668.196</v>
      </c>
      <c r="C5" s="67">
        <f>C7+C9+C10+C12</f>
        <v>30353.495</v>
      </c>
      <c r="D5" s="67">
        <f>D7+D9+D10+D12</f>
        <v>1807.458</v>
      </c>
      <c r="E5" s="67">
        <f>E7+E9+E10+E12</f>
        <v>23904.985</v>
      </c>
      <c r="F5" s="68">
        <f>F7+F9+F10+F12</f>
        <v>29602.257999999998</v>
      </c>
      <c r="G5" s="70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40.5" customHeight="1">
      <c r="A6" s="65" t="s">
        <v>27</v>
      </c>
      <c r="B6" s="148">
        <f t="shared" si="0"/>
        <v>23.383999999999997</v>
      </c>
      <c r="C6" s="14">
        <f>C8+C11</f>
        <v>13.198999999999998</v>
      </c>
      <c r="D6" s="14">
        <f>D8+D11</f>
        <v>1.344</v>
      </c>
      <c r="E6" s="14">
        <f>E8+E11</f>
        <v>8.665</v>
      </c>
      <c r="F6" s="15">
        <f>F8+F11</f>
        <v>0.176</v>
      </c>
      <c r="G6" s="70"/>
      <c r="H6" s="54"/>
      <c r="K6" s="54"/>
      <c r="L6" s="54"/>
      <c r="M6" s="54"/>
      <c r="N6" s="54"/>
      <c r="O6" s="54"/>
      <c r="P6" s="54"/>
      <c r="Q6" s="54"/>
      <c r="R6" s="54"/>
    </row>
    <row r="7" spans="1:18" s="3" customFormat="1" ht="24.75" customHeight="1">
      <c r="A7" s="65" t="s">
        <v>22</v>
      </c>
      <c r="B7" s="148">
        <f t="shared" si="0"/>
        <v>1157.887</v>
      </c>
      <c r="C7" s="14">
        <v>1157.887</v>
      </c>
      <c r="D7" s="14"/>
      <c r="E7" s="14"/>
      <c r="F7" s="15"/>
      <c r="G7" s="70"/>
      <c r="H7" s="54"/>
      <c r="K7" s="54"/>
      <c r="L7" s="54"/>
      <c r="M7" s="54"/>
      <c r="N7" s="54"/>
      <c r="O7" s="54"/>
      <c r="P7" s="54"/>
      <c r="Q7" s="54"/>
      <c r="R7" s="54"/>
    </row>
    <row r="8" spans="1:18" s="3" customFormat="1" ht="24.75" customHeight="1">
      <c r="A8" s="65" t="s">
        <v>23</v>
      </c>
      <c r="B8" s="148">
        <f t="shared" si="0"/>
        <v>3.05</v>
      </c>
      <c r="C8" s="14">
        <v>3.05</v>
      </c>
      <c r="D8" s="14"/>
      <c r="E8" s="14"/>
      <c r="F8" s="15"/>
      <c r="G8" s="70"/>
      <c r="H8" s="54"/>
      <c r="K8" s="54"/>
      <c r="L8" s="54"/>
      <c r="M8" s="54"/>
      <c r="N8" s="54"/>
      <c r="O8" s="54"/>
      <c r="P8" s="54"/>
      <c r="Q8" s="54"/>
      <c r="R8" s="54"/>
    </row>
    <row r="9" spans="1:18" s="3" customFormat="1" ht="30.75" customHeight="1">
      <c r="A9" s="32" t="s">
        <v>24</v>
      </c>
      <c r="B9" s="148">
        <f t="shared" si="0"/>
        <v>52766.276</v>
      </c>
      <c r="C9" s="14">
        <v>22444.286</v>
      </c>
      <c r="D9" s="14">
        <v>1359.409</v>
      </c>
      <c r="E9" s="14">
        <v>17790.237</v>
      </c>
      <c r="F9" s="15">
        <v>11172.344</v>
      </c>
      <c r="G9" s="18"/>
      <c r="H9" s="54"/>
      <c r="K9" s="54"/>
      <c r="L9" s="54"/>
      <c r="M9" s="54"/>
      <c r="N9" s="54"/>
      <c r="O9" s="54"/>
      <c r="P9" s="54"/>
      <c r="Q9" s="54"/>
      <c r="R9" s="54"/>
    </row>
    <row r="10" spans="1:18" s="30" customFormat="1" ht="24" customHeight="1">
      <c r="A10" s="32" t="s">
        <v>25</v>
      </c>
      <c r="B10" s="89">
        <f t="shared" si="0"/>
        <v>12277.538</v>
      </c>
      <c r="C10" s="91">
        <v>6703.099</v>
      </c>
      <c r="D10" s="91">
        <v>446.209</v>
      </c>
      <c r="E10" s="91">
        <v>5015.2</v>
      </c>
      <c r="F10" s="149">
        <v>113.03</v>
      </c>
      <c r="G10" s="71"/>
      <c r="H10" s="55"/>
      <c r="K10" s="55"/>
      <c r="L10" s="55"/>
      <c r="M10" s="55"/>
      <c r="N10" s="55"/>
      <c r="O10" s="55"/>
      <c r="P10" s="55"/>
      <c r="Q10" s="55"/>
      <c r="R10" s="55"/>
    </row>
    <row r="11" spans="1:18" s="30" customFormat="1" ht="24.75" customHeight="1">
      <c r="A11" s="32" t="s">
        <v>26</v>
      </c>
      <c r="B11" s="89">
        <f t="shared" si="0"/>
        <v>20.333999999999996</v>
      </c>
      <c r="C11" s="91">
        <v>10.149</v>
      </c>
      <c r="D11" s="91">
        <v>1.344</v>
      </c>
      <c r="E11" s="91">
        <v>8.665</v>
      </c>
      <c r="F11" s="149">
        <v>0.176</v>
      </c>
      <c r="G11" s="71"/>
      <c r="H11" s="55"/>
      <c r="K11" s="55"/>
      <c r="L11" s="55"/>
      <c r="M11" s="55"/>
      <c r="N11" s="55"/>
      <c r="O11" s="55"/>
      <c r="P11" s="55"/>
      <c r="Q11" s="55"/>
      <c r="R11" s="55"/>
    </row>
    <row r="12" spans="1:18" s="3" customFormat="1" ht="20.25" customHeight="1">
      <c r="A12" s="26" t="s">
        <v>7</v>
      </c>
      <c r="B12" s="148">
        <f t="shared" si="0"/>
        <v>19466.495</v>
      </c>
      <c r="C12" s="14">
        <f>C13+C14+C15</f>
        <v>48.223</v>
      </c>
      <c r="D12" s="14">
        <f>D13+D14+D15</f>
        <v>1.84</v>
      </c>
      <c r="E12" s="14">
        <f>E13+E14+E15</f>
        <v>1099.548</v>
      </c>
      <c r="F12" s="15">
        <f>F13+F14+F15</f>
        <v>18316.884</v>
      </c>
      <c r="G12" s="7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21.75" customHeight="1">
      <c r="A13" s="26" t="s">
        <v>8</v>
      </c>
      <c r="B13" s="148">
        <f t="shared" si="0"/>
        <v>5651.963</v>
      </c>
      <c r="C13" s="9">
        <v>26.14</v>
      </c>
      <c r="D13" s="9">
        <v>0</v>
      </c>
      <c r="E13" s="9">
        <v>275.912</v>
      </c>
      <c r="F13" s="10">
        <v>5349.911</v>
      </c>
      <c r="G13" s="20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21.75" customHeight="1">
      <c r="A14" s="26" t="s">
        <v>39</v>
      </c>
      <c r="B14" s="148">
        <f t="shared" si="0"/>
        <v>0</v>
      </c>
      <c r="C14" s="9">
        <v>0</v>
      </c>
      <c r="D14" s="9"/>
      <c r="E14" s="9"/>
      <c r="F14" s="10"/>
      <c r="G14" s="20"/>
      <c r="H14" s="54"/>
      <c r="K14" s="54"/>
      <c r="L14" s="54"/>
      <c r="M14" s="54"/>
      <c r="N14" s="54"/>
      <c r="O14" s="54"/>
      <c r="P14" s="54"/>
      <c r="Q14" s="54"/>
      <c r="R14" s="54"/>
    </row>
    <row r="15" spans="1:18" s="3" customFormat="1" ht="24.75" customHeight="1">
      <c r="A15" s="26" t="s">
        <v>9</v>
      </c>
      <c r="B15" s="148">
        <f t="shared" si="0"/>
        <v>13814.532</v>
      </c>
      <c r="C15" s="9">
        <v>22.083</v>
      </c>
      <c r="D15" s="9">
        <v>1.84</v>
      </c>
      <c r="E15" s="9">
        <v>823.636</v>
      </c>
      <c r="F15" s="10">
        <v>12966.973</v>
      </c>
      <c r="G15" s="20"/>
      <c r="H15" s="54"/>
      <c r="K15" s="54"/>
      <c r="L15" s="54"/>
      <c r="M15" s="54"/>
      <c r="N15" s="54"/>
      <c r="O15" s="54"/>
      <c r="P15" s="54"/>
      <c r="Q15" s="54"/>
      <c r="R15" s="54"/>
    </row>
    <row r="16" spans="1:18" s="3" customFormat="1" ht="47.25" customHeight="1">
      <c r="A16" s="65" t="s">
        <v>43</v>
      </c>
      <c r="B16" s="148">
        <f t="shared" si="0"/>
        <v>2986.098</v>
      </c>
      <c r="C16" s="14">
        <f>C17+C19</f>
        <v>2986.098</v>
      </c>
      <c r="D16" s="14">
        <f>D17+D19</f>
        <v>0</v>
      </c>
      <c r="E16" s="14">
        <f>E17+E19</f>
        <v>0</v>
      </c>
      <c r="F16" s="15">
        <f>F17+F19</f>
        <v>0</v>
      </c>
      <c r="G16" s="58"/>
      <c r="H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24.75" customHeight="1">
      <c r="A17" s="26" t="s">
        <v>10</v>
      </c>
      <c r="B17" s="150">
        <f t="shared" si="0"/>
        <v>2986.098</v>
      </c>
      <c r="C17" s="74">
        <v>2986.098</v>
      </c>
      <c r="D17" s="9"/>
      <c r="E17" s="9"/>
      <c r="F17" s="10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0" customFormat="1" ht="26.25" customHeight="1">
      <c r="A18" s="32" t="s">
        <v>44</v>
      </c>
      <c r="B18" s="89">
        <f t="shared" si="0"/>
        <v>6.03</v>
      </c>
      <c r="C18" s="74">
        <v>6.03</v>
      </c>
      <c r="D18" s="151"/>
      <c r="E18" s="151"/>
      <c r="F18" s="15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3" customFormat="1" ht="24.75" customHeight="1">
      <c r="A19" s="26" t="s">
        <v>7</v>
      </c>
      <c r="B19" s="148">
        <f t="shared" si="0"/>
        <v>0</v>
      </c>
      <c r="C19" s="14">
        <f>C20+C22</f>
        <v>0</v>
      </c>
      <c r="D19" s="14">
        <f>D20+D22</f>
        <v>0</v>
      </c>
      <c r="E19" s="14">
        <f>E20+E22</f>
        <v>0</v>
      </c>
      <c r="F19" s="15">
        <f>F20+F22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24.75" customHeight="1">
      <c r="A20" s="26" t="s">
        <v>8</v>
      </c>
      <c r="B20" s="148">
        <f t="shared" si="0"/>
        <v>0</v>
      </c>
      <c r="C20" s="153"/>
      <c r="D20" s="153"/>
      <c r="E20" s="153"/>
      <c r="F20" s="154"/>
      <c r="G20" s="87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20.25" customHeight="1">
      <c r="A21" s="26" t="s">
        <v>39</v>
      </c>
      <c r="B21" s="148">
        <f t="shared" si="0"/>
        <v>0</v>
      </c>
      <c r="C21" s="9"/>
      <c r="D21" s="9"/>
      <c r="E21" s="9"/>
      <c r="F21" s="10"/>
      <c r="G21" s="60"/>
      <c r="H21" s="60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24.75" customHeight="1">
      <c r="A22" s="26" t="s">
        <v>9</v>
      </c>
      <c r="B22" s="148">
        <f t="shared" si="0"/>
        <v>0</v>
      </c>
      <c r="C22" s="9"/>
      <c r="D22" s="9"/>
      <c r="E22" s="9"/>
      <c r="F22" s="10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0.75" customHeight="1">
      <c r="A23" s="65" t="s">
        <v>19</v>
      </c>
      <c r="B23" s="148">
        <f t="shared" si="0"/>
        <v>6829.24</v>
      </c>
      <c r="C23" s="14">
        <f>C24+C25</f>
        <v>934.082</v>
      </c>
      <c r="D23" s="14">
        <f>D24+D25</f>
        <v>0</v>
      </c>
      <c r="E23" s="14">
        <f>E24+E25</f>
        <v>2417.245</v>
      </c>
      <c r="F23" s="15">
        <f>F24+F25</f>
        <v>3477.913</v>
      </c>
      <c r="G23" s="88"/>
      <c r="H23" s="75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21.75" customHeight="1">
      <c r="A24" s="26" t="s">
        <v>10</v>
      </c>
      <c r="B24" s="148">
        <f t="shared" si="0"/>
        <v>4196.9169999999995</v>
      </c>
      <c r="C24" s="14">
        <v>780.622</v>
      </c>
      <c r="D24" s="14">
        <v>0</v>
      </c>
      <c r="E24" s="14">
        <v>2064.969</v>
      </c>
      <c r="F24" s="15">
        <v>1351.326</v>
      </c>
      <c r="G24" s="75"/>
      <c r="H24" s="75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19.5" customHeight="1">
      <c r="A25" s="26" t="s">
        <v>7</v>
      </c>
      <c r="B25" s="148">
        <f t="shared" si="0"/>
        <v>2632.323</v>
      </c>
      <c r="C25" s="14">
        <f>C26+C27+C28</f>
        <v>153.46</v>
      </c>
      <c r="D25" s="14">
        <f>D26+D27+D28</f>
        <v>0</v>
      </c>
      <c r="E25" s="14">
        <f>E26+E27+E28</f>
        <v>352.27599999999995</v>
      </c>
      <c r="F25" s="15">
        <f>F26+F27+F28</f>
        <v>2126.587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19.5" customHeight="1">
      <c r="A26" s="26" t="s">
        <v>8</v>
      </c>
      <c r="B26" s="148">
        <f t="shared" si="0"/>
        <v>1516.34</v>
      </c>
      <c r="C26" s="9">
        <v>0</v>
      </c>
      <c r="D26" s="9">
        <v>0</v>
      </c>
      <c r="E26" s="9">
        <v>67.816</v>
      </c>
      <c r="F26" s="10">
        <v>1448.524</v>
      </c>
      <c r="G26" s="69"/>
      <c r="H26" s="69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20.25" customHeight="1">
      <c r="A27" s="26" t="s">
        <v>39</v>
      </c>
      <c r="B27" s="148">
        <f>C27+D27+E27+F27</f>
        <v>0</v>
      </c>
      <c r="C27" s="9"/>
      <c r="D27" s="9"/>
      <c r="E27" s="9"/>
      <c r="F27" s="10"/>
      <c r="G27" s="60"/>
      <c r="H27" s="60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19.5" customHeight="1">
      <c r="A28" s="26" t="s">
        <v>9</v>
      </c>
      <c r="B28" s="148">
        <f t="shared" si="0"/>
        <v>1115.983</v>
      </c>
      <c r="C28" s="9">
        <v>153.46</v>
      </c>
      <c r="D28" s="9">
        <v>0</v>
      </c>
      <c r="E28" s="9">
        <v>284.46</v>
      </c>
      <c r="F28" s="10">
        <v>678.063</v>
      </c>
      <c r="G28" s="69"/>
      <c r="H28" s="69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5.25" customHeight="1">
      <c r="A29" s="65" t="s">
        <v>55</v>
      </c>
      <c r="B29" s="148">
        <f t="shared" si="0"/>
        <v>780.527</v>
      </c>
      <c r="C29" s="14">
        <f>C30+C31</f>
        <v>780.527</v>
      </c>
      <c r="D29" s="14"/>
      <c r="E29" s="14"/>
      <c r="F29" s="15"/>
      <c r="G29" s="64"/>
      <c r="H29" s="6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19.5" customHeight="1">
      <c r="A30" s="26" t="s">
        <v>10</v>
      </c>
      <c r="B30" s="148">
        <f t="shared" si="0"/>
        <v>780.027</v>
      </c>
      <c r="C30" s="14">
        <v>780.027</v>
      </c>
      <c r="D30" s="14"/>
      <c r="E30" s="14"/>
      <c r="F30" s="1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27.75" customHeight="1">
      <c r="A31" s="26" t="s">
        <v>7</v>
      </c>
      <c r="B31" s="148">
        <f t="shared" si="0"/>
        <v>0.5</v>
      </c>
      <c r="C31" s="14">
        <f>C32+C33+C34</f>
        <v>0.5</v>
      </c>
      <c r="D31" s="14">
        <f>D32+D33+D34</f>
        <v>0</v>
      </c>
      <c r="E31" s="14">
        <f>E32+E33+E34</f>
        <v>0</v>
      </c>
      <c r="F31" s="15">
        <f>F32+F33+F34</f>
        <v>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19.5" customHeight="1">
      <c r="A32" s="26" t="s">
        <v>8</v>
      </c>
      <c r="B32" s="148">
        <f t="shared" si="0"/>
        <v>0.5</v>
      </c>
      <c r="C32" s="9">
        <v>0.5</v>
      </c>
      <c r="D32" s="9"/>
      <c r="E32" s="9"/>
      <c r="F32" s="10"/>
      <c r="G32" s="58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20.25" customHeight="1">
      <c r="A33" s="26" t="s">
        <v>39</v>
      </c>
      <c r="B33" s="148">
        <f t="shared" si="0"/>
        <v>0</v>
      </c>
      <c r="C33" s="9"/>
      <c r="D33" s="9"/>
      <c r="E33" s="9"/>
      <c r="F33" s="10"/>
      <c r="G33" s="60"/>
      <c r="H33" s="60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19.5" customHeight="1">
      <c r="A34" s="26" t="s">
        <v>9</v>
      </c>
      <c r="B34" s="148">
        <f t="shared" si="0"/>
        <v>0</v>
      </c>
      <c r="C34" s="9"/>
      <c r="D34" s="9"/>
      <c r="E34" s="9"/>
      <c r="F34" s="10"/>
      <c r="G34" s="58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42.75" customHeight="1">
      <c r="A35" s="65" t="s">
        <v>61</v>
      </c>
      <c r="B35" s="148">
        <f t="shared" si="0"/>
        <v>914.0029999999999</v>
      </c>
      <c r="C35" s="14">
        <f>C36+C37</f>
        <v>0</v>
      </c>
      <c r="D35" s="14">
        <f>D36+D37</f>
        <v>803.774</v>
      </c>
      <c r="E35" s="14">
        <f>E36+E37</f>
        <v>75.929</v>
      </c>
      <c r="F35" s="15">
        <f>F36+F37</f>
        <v>34.300000000000004</v>
      </c>
      <c r="G35" s="64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21.75" customHeight="1">
      <c r="A36" s="26" t="s">
        <v>10</v>
      </c>
      <c r="B36" s="148">
        <f t="shared" si="0"/>
        <v>893.38</v>
      </c>
      <c r="C36" s="14"/>
      <c r="D36" s="14">
        <v>803.774</v>
      </c>
      <c r="E36" s="14">
        <v>55.649</v>
      </c>
      <c r="F36" s="15">
        <v>33.957</v>
      </c>
      <c r="G36" s="64"/>
      <c r="H36" s="58"/>
      <c r="I36" s="58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21" customHeight="1">
      <c r="A37" s="26" t="s">
        <v>7</v>
      </c>
      <c r="B37" s="148">
        <f t="shared" si="0"/>
        <v>20.623</v>
      </c>
      <c r="C37" s="14">
        <f>C38+C39+C40</f>
        <v>0</v>
      </c>
      <c r="D37" s="14">
        <f>D38+D39+D40</f>
        <v>0</v>
      </c>
      <c r="E37" s="14">
        <f>E38+E39+E40</f>
        <v>20.28</v>
      </c>
      <c r="F37" s="15">
        <f>F38+F39+F40</f>
        <v>0.343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21.75" customHeight="1">
      <c r="A38" s="26" t="s">
        <v>8</v>
      </c>
      <c r="B38" s="148">
        <f t="shared" si="0"/>
        <v>20.623</v>
      </c>
      <c r="C38" s="9"/>
      <c r="D38" s="9"/>
      <c r="E38" s="9">
        <v>20.28</v>
      </c>
      <c r="F38" s="10">
        <v>0.343</v>
      </c>
      <c r="G38" s="69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20.25" customHeight="1">
      <c r="A39" s="26" t="s">
        <v>39</v>
      </c>
      <c r="B39" s="148">
        <f>C39+D39+E39+F39</f>
        <v>0</v>
      </c>
      <c r="C39" s="9"/>
      <c r="D39" s="9"/>
      <c r="E39" s="9"/>
      <c r="F39" s="10"/>
      <c r="G39" s="60"/>
      <c r="H39" s="60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" customFormat="1" ht="21" customHeight="1">
      <c r="A40" s="26" t="s">
        <v>9</v>
      </c>
      <c r="B40" s="148">
        <f t="shared" si="0"/>
        <v>0</v>
      </c>
      <c r="C40" s="9"/>
      <c r="D40" s="9"/>
      <c r="E40" s="9"/>
      <c r="F40" s="10"/>
      <c r="G40" s="69"/>
      <c r="H40" s="58"/>
      <c r="I40" s="58"/>
      <c r="J40" s="54"/>
      <c r="K40" s="54"/>
      <c r="L40" s="54"/>
      <c r="M40" s="54"/>
      <c r="N40" s="54"/>
      <c r="O40" s="54"/>
      <c r="P40" s="54"/>
      <c r="Q40" s="54"/>
      <c r="R40" s="54"/>
    </row>
    <row r="41" spans="1:18" s="3" customFormat="1" ht="39" customHeight="1">
      <c r="A41" s="65" t="s">
        <v>47</v>
      </c>
      <c r="B41" s="148">
        <f t="shared" si="0"/>
        <v>12123.213</v>
      </c>
      <c r="C41" s="14">
        <f>C42+C43+C45</f>
        <v>5560.177</v>
      </c>
      <c r="D41" s="14"/>
      <c r="E41" s="14">
        <f>E42+E45</f>
        <v>2460.841</v>
      </c>
      <c r="F41" s="15">
        <f>F42+F45</f>
        <v>4102.195</v>
      </c>
      <c r="G41" s="64"/>
      <c r="H41" s="58"/>
      <c r="I41" s="58"/>
      <c r="J41" s="54"/>
      <c r="K41" s="54"/>
      <c r="L41" s="54"/>
      <c r="M41" s="54"/>
      <c r="N41" s="54"/>
      <c r="O41" s="54"/>
      <c r="P41" s="54"/>
      <c r="Q41" s="54"/>
      <c r="R41" s="54"/>
    </row>
    <row r="42" spans="1:18" s="3" customFormat="1" ht="39.75" customHeight="1">
      <c r="A42" s="32" t="s">
        <v>21</v>
      </c>
      <c r="B42" s="148">
        <f t="shared" si="0"/>
        <v>4605.651</v>
      </c>
      <c r="C42" s="14">
        <f>5560.177-C43</f>
        <v>977.5379999999996</v>
      </c>
      <c r="D42" s="14"/>
      <c r="E42" s="14">
        <v>2360.574</v>
      </c>
      <c r="F42" s="15">
        <v>1267.539</v>
      </c>
      <c r="G42" s="58"/>
      <c r="H42" s="58"/>
      <c r="I42" s="58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0" customFormat="1" ht="44.25" customHeight="1">
      <c r="A43" s="89" t="s">
        <v>36</v>
      </c>
      <c r="B43" s="148">
        <f t="shared" si="0"/>
        <v>4582.639</v>
      </c>
      <c r="C43" s="14">
        <v>4582.639</v>
      </c>
      <c r="D43" s="14"/>
      <c r="E43" s="14"/>
      <c r="F43" s="15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</row>
    <row r="44" spans="1:18" s="30" customFormat="1" ht="30.75" customHeight="1">
      <c r="A44" s="32" t="s">
        <v>26</v>
      </c>
      <c r="B44" s="89">
        <f t="shared" si="0"/>
        <v>6.499</v>
      </c>
      <c r="C44" s="91">
        <v>6.499</v>
      </c>
      <c r="D44" s="85"/>
      <c r="E44" s="85"/>
      <c r="F44" s="121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s="3" customFormat="1" ht="20.25" customHeight="1">
      <c r="A45" s="26" t="s">
        <v>7</v>
      </c>
      <c r="B45" s="148">
        <f t="shared" si="0"/>
        <v>2934.923</v>
      </c>
      <c r="C45" s="14">
        <f>C46+C47+C48</f>
        <v>0</v>
      </c>
      <c r="D45" s="14">
        <f>D46+D47+D48</f>
        <v>0</v>
      </c>
      <c r="E45" s="14">
        <f>E46+E47+E48</f>
        <v>100.267</v>
      </c>
      <c r="F45" s="15">
        <f>F46+F47+F48</f>
        <v>2834.656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20.25" customHeight="1">
      <c r="A46" s="26" t="s">
        <v>8</v>
      </c>
      <c r="B46" s="148">
        <f t="shared" si="0"/>
        <v>2764.45</v>
      </c>
      <c r="C46" s="9"/>
      <c r="D46" s="9"/>
      <c r="E46" s="9">
        <v>100.267</v>
      </c>
      <c r="F46" s="10">
        <v>2664.183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20.25" customHeight="1">
      <c r="A47" s="26" t="s">
        <v>39</v>
      </c>
      <c r="B47" s="148">
        <f t="shared" si="0"/>
        <v>135.967</v>
      </c>
      <c r="C47" s="9"/>
      <c r="D47" s="9"/>
      <c r="E47" s="9"/>
      <c r="F47" s="10">
        <v>135.967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20.25" customHeight="1">
      <c r="A48" s="26" t="s">
        <v>9</v>
      </c>
      <c r="B48" s="148">
        <f t="shared" si="0"/>
        <v>34.506</v>
      </c>
      <c r="C48" s="9"/>
      <c r="D48" s="9"/>
      <c r="E48" s="9"/>
      <c r="F48" s="10">
        <v>34.506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9.75" customHeight="1">
      <c r="A49" s="65" t="s">
        <v>60</v>
      </c>
      <c r="B49" s="148">
        <f t="shared" si="0"/>
        <v>90.759</v>
      </c>
      <c r="C49" s="14"/>
      <c r="D49" s="14"/>
      <c r="E49" s="14">
        <f>E50+E51</f>
        <v>39.907</v>
      </c>
      <c r="F49" s="15">
        <f>F50+F51</f>
        <v>50.852000000000004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22.5" customHeight="1">
      <c r="A50" s="26" t="s">
        <v>10</v>
      </c>
      <c r="B50" s="148">
        <f t="shared" si="0"/>
        <v>66.54599999999999</v>
      </c>
      <c r="C50" s="14"/>
      <c r="D50" s="14"/>
      <c r="E50" s="14">
        <v>39.907</v>
      </c>
      <c r="F50" s="15">
        <v>26.639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24.75" customHeight="1">
      <c r="A51" s="26" t="s">
        <v>7</v>
      </c>
      <c r="B51" s="148">
        <f t="shared" si="0"/>
        <v>24.213</v>
      </c>
      <c r="C51" s="14">
        <f>C52+C53+C54</f>
        <v>0</v>
      </c>
      <c r="D51" s="14">
        <f>D52+D53+D54</f>
        <v>0</v>
      </c>
      <c r="E51" s="14">
        <f>E52+E53+E54</f>
        <v>0</v>
      </c>
      <c r="F51" s="14">
        <f>F52+F53+F54</f>
        <v>24.213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3" customFormat="1" ht="18" customHeight="1">
      <c r="A52" s="26" t="s">
        <v>8</v>
      </c>
      <c r="B52" s="148">
        <f t="shared" si="0"/>
        <v>18.407</v>
      </c>
      <c r="C52" s="9"/>
      <c r="D52" s="9"/>
      <c r="E52" s="9">
        <v>0</v>
      </c>
      <c r="F52" s="10">
        <v>18.407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3" customFormat="1" ht="20.25" customHeight="1">
      <c r="A53" s="26" t="s">
        <v>39</v>
      </c>
      <c r="B53" s="148">
        <f t="shared" si="0"/>
        <v>0</v>
      </c>
      <c r="C53" s="9"/>
      <c r="D53" s="9"/>
      <c r="E53" s="9">
        <v>0</v>
      </c>
      <c r="F53" s="10"/>
      <c r="G53" s="60"/>
      <c r="H53" s="60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3" customFormat="1" ht="18" customHeight="1">
      <c r="A54" s="26" t="s">
        <v>9</v>
      </c>
      <c r="B54" s="148">
        <f t="shared" si="0"/>
        <v>5.806</v>
      </c>
      <c r="C54" s="9"/>
      <c r="D54" s="9"/>
      <c r="E54" s="9">
        <v>0</v>
      </c>
      <c r="F54" s="10">
        <v>5.806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29" customFormat="1" ht="40.5" customHeight="1">
      <c r="A55" s="65" t="s">
        <v>59</v>
      </c>
      <c r="B55" s="148">
        <f t="shared" si="0"/>
        <v>13.931</v>
      </c>
      <c r="C55" s="14">
        <f>C56+C57</f>
        <v>0</v>
      </c>
      <c r="D55" s="14"/>
      <c r="E55" s="14">
        <f>E56+E57</f>
        <v>0</v>
      </c>
      <c r="F55" s="15">
        <f>F56+F57</f>
        <v>13.931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29" customFormat="1" ht="23.25" customHeight="1">
      <c r="A56" s="26" t="s">
        <v>10</v>
      </c>
      <c r="B56" s="148">
        <f t="shared" si="0"/>
        <v>13.931</v>
      </c>
      <c r="C56" s="14"/>
      <c r="D56" s="14"/>
      <c r="E56" s="14"/>
      <c r="F56" s="15">
        <v>13.931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29" customFormat="1" ht="23.25" customHeight="1">
      <c r="A57" s="26" t="s">
        <v>7</v>
      </c>
      <c r="B57" s="148">
        <f t="shared" si="0"/>
        <v>0</v>
      </c>
      <c r="C57" s="14">
        <f>C58+C59+C60</f>
        <v>0</v>
      </c>
      <c r="D57" s="14">
        <f>D58+D59+D60</f>
        <v>0</v>
      </c>
      <c r="E57" s="14">
        <f>E58+E59+E60</f>
        <v>0</v>
      </c>
      <c r="F57" s="15">
        <f>F58+F59+F60</f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29" customFormat="1" ht="23.25" customHeight="1">
      <c r="A58" s="26" t="s">
        <v>8</v>
      </c>
      <c r="B58" s="148">
        <f t="shared" si="0"/>
        <v>0</v>
      </c>
      <c r="C58" s="14"/>
      <c r="D58" s="14"/>
      <c r="E58" s="14"/>
      <c r="F58" s="10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3" customFormat="1" ht="20.25" customHeight="1">
      <c r="A59" s="26" t="s">
        <v>39</v>
      </c>
      <c r="B59" s="148">
        <f>C59+D59+E59+F59</f>
        <v>0</v>
      </c>
      <c r="C59" s="9"/>
      <c r="D59" s="9"/>
      <c r="E59" s="9"/>
      <c r="F59" s="10"/>
      <c r="G59" s="60"/>
      <c r="H59" s="60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29" customFormat="1" ht="23.25" customHeight="1">
      <c r="A60" s="26" t="s">
        <v>9</v>
      </c>
      <c r="B60" s="148">
        <f t="shared" si="0"/>
        <v>0</v>
      </c>
      <c r="C60" s="14"/>
      <c r="D60" s="14"/>
      <c r="E60" s="14"/>
      <c r="F60" s="10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29" customFormat="1" ht="38.25" customHeight="1">
      <c r="A61" s="65" t="s">
        <v>48</v>
      </c>
      <c r="B61" s="148">
        <f t="shared" si="0"/>
        <v>1932.5590000000002</v>
      </c>
      <c r="C61" s="14">
        <f>C62+C63</f>
        <v>1817.958</v>
      </c>
      <c r="D61" s="14"/>
      <c r="E61" s="14">
        <f>E62+E63</f>
        <v>114.601</v>
      </c>
      <c r="F61" s="1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29" customFormat="1" ht="19.5" customHeight="1">
      <c r="A62" s="26" t="s">
        <v>10</v>
      </c>
      <c r="B62" s="148">
        <f t="shared" si="0"/>
        <v>1932.5590000000002</v>
      </c>
      <c r="C62" s="14">
        <v>1817.958</v>
      </c>
      <c r="D62" s="14"/>
      <c r="E62" s="14">
        <v>114.601</v>
      </c>
      <c r="F62" s="1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29" customFormat="1" ht="19.5" customHeight="1">
      <c r="A63" s="26" t="s">
        <v>7</v>
      </c>
      <c r="B63" s="148">
        <f t="shared" si="0"/>
        <v>0</v>
      </c>
      <c r="C63" s="14">
        <f>C64+C66</f>
        <v>0</v>
      </c>
      <c r="D63" s="14"/>
      <c r="E63" s="14">
        <f>E64+E66</f>
        <v>0</v>
      </c>
      <c r="F63" s="1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29" customFormat="1" ht="19.5" customHeight="1">
      <c r="A64" s="26" t="s">
        <v>8</v>
      </c>
      <c r="B64" s="148">
        <f t="shared" si="0"/>
        <v>0</v>
      </c>
      <c r="C64" s="14"/>
      <c r="D64" s="14"/>
      <c r="E64" s="14"/>
      <c r="F64" s="10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20.25" customHeight="1">
      <c r="A65" s="26" t="s">
        <v>39</v>
      </c>
      <c r="B65" s="148">
        <f t="shared" si="0"/>
        <v>0</v>
      </c>
      <c r="C65" s="9"/>
      <c r="D65" s="9"/>
      <c r="E65" s="9"/>
      <c r="F65" s="10"/>
      <c r="G65" s="60"/>
      <c r="H65" s="60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29" customFormat="1" ht="19.5" customHeight="1">
      <c r="A66" s="26" t="s">
        <v>9</v>
      </c>
      <c r="B66" s="148">
        <f t="shared" si="0"/>
        <v>0</v>
      </c>
      <c r="C66" s="14"/>
      <c r="D66" s="14"/>
      <c r="E66" s="14"/>
      <c r="F66" s="1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24.75" customHeight="1">
      <c r="A67" s="92" t="s">
        <v>16</v>
      </c>
      <c r="B67" s="148">
        <f t="shared" si="0"/>
        <v>602.346</v>
      </c>
      <c r="C67" s="9"/>
      <c r="D67" s="14"/>
      <c r="E67" s="14">
        <f>E68+E69</f>
        <v>400.936</v>
      </c>
      <c r="F67" s="15">
        <f>F68+F69</f>
        <v>201.41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23.25" customHeight="1">
      <c r="A68" s="26" t="s">
        <v>10</v>
      </c>
      <c r="B68" s="148">
        <f t="shared" si="0"/>
        <v>602.346</v>
      </c>
      <c r="C68" s="14"/>
      <c r="D68" s="14"/>
      <c r="E68" s="14">
        <v>400.936</v>
      </c>
      <c r="F68" s="15">
        <v>201.41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23.25" customHeight="1">
      <c r="A69" s="26" t="s">
        <v>7</v>
      </c>
      <c r="B69" s="148">
        <f aca="true" t="shared" si="1" ref="B69:B132">C69+D69+E69+F69</f>
        <v>0</v>
      </c>
      <c r="C69" s="14">
        <f>C70+C71+C72</f>
        <v>0</v>
      </c>
      <c r="D69" s="14">
        <f>D70+D71+D72</f>
        <v>0</v>
      </c>
      <c r="E69" s="14">
        <f>E70+E71+E72</f>
        <v>0</v>
      </c>
      <c r="F69" s="15">
        <f>F70+F71+F72</f>
        <v>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23.25" customHeight="1">
      <c r="A70" s="26" t="s">
        <v>8</v>
      </c>
      <c r="B70" s="148">
        <f t="shared" si="1"/>
        <v>0</v>
      </c>
      <c r="C70" s="9"/>
      <c r="D70" s="14"/>
      <c r="E70" s="9"/>
      <c r="F70" s="10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20.25" customHeight="1">
      <c r="A71" s="26" t="s">
        <v>39</v>
      </c>
      <c r="B71" s="148">
        <f>C71+D71+E71+F71</f>
        <v>0</v>
      </c>
      <c r="C71" s="9"/>
      <c r="D71" s="9"/>
      <c r="E71" s="9"/>
      <c r="F71" s="10"/>
      <c r="G71" s="60"/>
      <c r="H71" s="60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23.25" customHeight="1">
      <c r="A72" s="26" t="s">
        <v>9</v>
      </c>
      <c r="B72" s="148">
        <f t="shared" si="1"/>
        <v>0</v>
      </c>
      <c r="C72" s="9"/>
      <c r="D72" s="14"/>
      <c r="E72" s="9"/>
      <c r="F72" s="10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23.25" customHeight="1">
      <c r="A73" s="92" t="s">
        <v>4</v>
      </c>
      <c r="B73" s="148">
        <f t="shared" si="1"/>
        <v>775.681</v>
      </c>
      <c r="C73" s="14">
        <f>C74+C75+C81</f>
        <v>775.681</v>
      </c>
      <c r="D73" s="14"/>
      <c r="E73" s="14"/>
      <c r="F73" s="1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47.25" customHeight="1">
      <c r="A74" s="32" t="s">
        <v>21</v>
      </c>
      <c r="B74" s="148">
        <f t="shared" si="1"/>
        <v>619.5790000000001</v>
      </c>
      <c r="C74" s="14">
        <f>775.681-C75</f>
        <v>619.5790000000001</v>
      </c>
      <c r="D74" s="14"/>
      <c r="E74" s="14">
        <f>E73-E81</f>
        <v>0</v>
      </c>
      <c r="F74" s="15">
        <f>F73-F81</f>
        <v>0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56.25" customHeight="1">
      <c r="A75" s="89" t="s">
        <v>30</v>
      </c>
      <c r="B75" s="150">
        <f t="shared" si="1"/>
        <v>156.102</v>
      </c>
      <c r="C75" s="52">
        <f>C77+C79</f>
        <v>156.102</v>
      </c>
      <c r="D75" s="118"/>
      <c r="E75" s="118"/>
      <c r="F75" s="1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6" customHeight="1">
      <c r="A76" s="32" t="s">
        <v>31</v>
      </c>
      <c r="B76" s="89">
        <f t="shared" si="1"/>
        <v>0.312</v>
      </c>
      <c r="C76" s="52">
        <f>C78+C80</f>
        <v>0.312</v>
      </c>
      <c r="D76" s="118"/>
      <c r="E76" s="118"/>
      <c r="F76" s="1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28.5" customHeight="1">
      <c r="A77" s="66" t="s">
        <v>32</v>
      </c>
      <c r="B77" s="155">
        <f t="shared" si="1"/>
        <v>0</v>
      </c>
      <c r="C77" s="151"/>
      <c r="D77" s="156"/>
      <c r="E77" s="156"/>
      <c r="F77" s="1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28.5" customHeight="1">
      <c r="A78" s="66" t="s">
        <v>33</v>
      </c>
      <c r="B78" s="155">
        <f t="shared" si="1"/>
        <v>0</v>
      </c>
      <c r="C78" s="151"/>
      <c r="D78" s="151"/>
      <c r="E78" s="151"/>
      <c r="F78" s="1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28.5" customHeight="1">
      <c r="A79" s="66" t="s">
        <v>34</v>
      </c>
      <c r="B79" s="155">
        <f t="shared" si="1"/>
        <v>156.102</v>
      </c>
      <c r="C79" s="151">
        <v>156.102</v>
      </c>
      <c r="D79" s="156"/>
      <c r="E79" s="151"/>
      <c r="F79" s="1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28.5" customHeight="1">
      <c r="A80" s="66" t="s">
        <v>35</v>
      </c>
      <c r="B80" s="155">
        <f t="shared" si="1"/>
        <v>0.312</v>
      </c>
      <c r="C80" s="151">
        <v>0.312</v>
      </c>
      <c r="D80" s="151"/>
      <c r="E80" s="151"/>
      <c r="F80" s="1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23.25" customHeight="1">
      <c r="A81" s="26" t="s">
        <v>7</v>
      </c>
      <c r="B81" s="148">
        <f t="shared" si="1"/>
        <v>0</v>
      </c>
      <c r="C81" s="14">
        <f>C82+C83+C84</f>
        <v>0</v>
      </c>
      <c r="D81" s="14">
        <f>D82+D83+D84</f>
        <v>0</v>
      </c>
      <c r="E81" s="14">
        <f>E82+E83+E84</f>
        <v>0</v>
      </c>
      <c r="F81" s="15">
        <f>F82+F83+F84</f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23.25" customHeight="1">
      <c r="A82" s="26" t="s">
        <v>8</v>
      </c>
      <c r="B82" s="148">
        <f t="shared" si="1"/>
        <v>0</v>
      </c>
      <c r="C82" s="9"/>
      <c r="D82" s="14"/>
      <c r="E82" s="14"/>
      <c r="F82" s="1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3" customFormat="1" ht="20.25" customHeight="1">
      <c r="A83" s="26" t="s">
        <v>39</v>
      </c>
      <c r="B83" s="148">
        <f t="shared" si="1"/>
        <v>0</v>
      </c>
      <c r="C83" s="9"/>
      <c r="D83" s="9"/>
      <c r="E83" s="9"/>
      <c r="F83" s="10"/>
      <c r="G83" s="60"/>
      <c r="H83" s="60"/>
      <c r="I83" s="54"/>
      <c r="J83" s="54"/>
      <c r="K83" s="54"/>
      <c r="L83" s="54"/>
      <c r="M83" s="54"/>
      <c r="N83" s="54"/>
      <c r="O83" s="54"/>
      <c r="P83" s="54"/>
      <c r="Q83" s="54"/>
      <c r="R83" s="54"/>
    </row>
    <row r="84" spans="1:18" s="3" customFormat="1" ht="23.25" customHeight="1">
      <c r="A84" s="26" t="s">
        <v>9</v>
      </c>
      <c r="B84" s="148">
        <f t="shared" si="1"/>
        <v>0</v>
      </c>
      <c r="C84" s="9"/>
      <c r="D84" s="14"/>
      <c r="E84" s="14"/>
      <c r="F84" s="1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s="3" customFormat="1" ht="51" customHeight="1">
      <c r="A85" s="65" t="s">
        <v>58</v>
      </c>
      <c r="B85" s="148">
        <f t="shared" si="1"/>
        <v>1764.571</v>
      </c>
      <c r="C85" s="14">
        <f>C86+C87</f>
        <v>832.868</v>
      </c>
      <c r="D85" s="14"/>
      <c r="E85" s="14">
        <f>E86+E89</f>
        <v>408.556</v>
      </c>
      <c r="F85" s="15">
        <f>F86+F89</f>
        <v>523.1469999999999</v>
      </c>
      <c r="G85" s="93"/>
      <c r="H85" s="93"/>
      <c r="I85" s="54"/>
      <c r="J85" s="54"/>
      <c r="K85" s="54"/>
      <c r="L85" s="54"/>
      <c r="M85" s="54"/>
      <c r="N85" s="54"/>
      <c r="O85" s="54"/>
      <c r="P85" s="54"/>
      <c r="Q85" s="54"/>
      <c r="R85" s="54"/>
    </row>
    <row r="86" spans="1:18" s="48" customFormat="1" ht="27" customHeight="1">
      <c r="A86" s="26" t="s">
        <v>10</v>
      </c>
      <c r="B86" s="157">
        <f t="shared" si="1"/>
        <v>799.1310000000001</v>
      </c>
      <c r="C86" s="119">
        <f>832.868-C87</f>
        <v>162.67200000000003</v>
      </c>
      <c r="D86" s="119"/>
      <c r="E86" s="119">
        <v>408.556</v>
      </c>
      <c r="F86" s="121">
        <v>227.903</v>
      </c>
      <c r="G86" s="93"/>
      <c r="H86" s="93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6" s="30" customFormat="1" ht="36.75" customHeight="1">
      <c r="A87" s="32" t="s">
        <v>49</v>
      </c>
      <c r="B87" s="148">
        <f>C87+D87+E87+F87</f>
        <v>670.196</v>
      </c>
      <c r="C87" s="158">
        <v>670.196</v>
      </c>
      <c r="D87" s="14"/>
      <c r="E87" s="14"/>
      <c r="F87" s="15"/>
    </row>
    <row r="88" spans="1:6" s="30" customFormat="1" ht="25.5" customHeight="1">
      <c r="A88" s="32" t="s">
        <v>26</v>
      </c>
      <c r="B88" s="89">
        <f>C88+D88+E88+F88</f>
        <v>1.505</v>
      </c>
      <c r="C88" s="158">
        <v>1.505</v>
      </c>
      <c r="D88" s="85"/>
      <c r="E88" s="85"/>
      <c r="F88" s="121"/>
    </row>
    <row r="89" spans="1:18" s="3" customFormat="1" ht="23.25" customHeight="1">
      <c r="A89" s="26" t="s">
        <v>7</v>
      </c>
      <c r="B89" s="148">
        <f t="shared" si="1"/>
        <v>295.24399999999997</v>
      </c>
      <c r="C89" s="14">
        <f>C90+C91+C92</f>
        <v>0</v>
      </c>
      <c r="D89" s="14">
        <f>D90+D91+D92</f>
        <v>0</v>
      </c>
      <c r="E89" s="14">
        <f>E90+E91+E92</f>
        <v>0</v>
      </c>
      <c r="F89" s="15">
        <f>F90+F91+F92</f>
        <v>295.24399999999997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23.25" customHeight="1">
      <c r="A90" s="26" t="s">
        <v>8</v>
      </c>
      <c r="B90" s="148">
        <f t="shared" si="1"/>
        <v>246.521</v>
      </c>
      <c r="C90" s="9"/>
      <c r="D90" s="14"/>
      <c r="E90" s="9"/>
      <c r="F90" s="10">
        <v>246.521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20.25" customHeight="1">
      <c r="A91" s="26" t="s">
        <v>39</v>
      </c>
      <c r="B91" s="148">
        <f>C91+D91+E91+F91</f>
        <v>0</v>
      </c>
      <c r="C91" s="9"/>
      <c r="D91" s="9"/>
      <c r="E91" s="9"/>
      <c r="F91" s="10"/>
      <c r="G91" s="60"/>
      <c r="H91" s="60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" customFormat="1" ht="23.25" customHeight="1">
      <c r="A92" s="26" t="s">
        <v>9</v>
      </c>
      <c r="B92" s="148">
        <f t="shared" si="1"/>
        <v>48.723</v>
      </c>
      <c r="C92" s="9"/>
      <c r="D92" s="14"/>
      <c r="E92" s="9"/>
      <c r="F92" s="10">
        <v>48.723</v>
      </c>
      <c r="G92" s="93"/>
      <c r="H92" s="93"/>
      <c r="I92" s="54"/>
      <c r="J92" s="54"/>
      <c r="K92" s="54"/>
      <c r="L92" s="54"/>
      <c r="M92" s="54"/>
      <c r="N92" s="54"/>
      <c r="O92" s="54"/>
      <c r="P92" s="54"/>
      <c r="Q92" s="54"/>
      <c r="R92" s="54"/>
    </row>
    <row r="93" spans="1:18" s="3" customFormat="1" ht="23.25" customHeight="1">
      <c r="A93" s="65" t="s">
        <v>15</v>
      </c>
      <c r="B93" s="148">
        <f t="shared" si="1"/>
        <v>1889.5179999999998</v>
      </c>
      <c r="C93" s="14">
        <f>C94+C95+C97</f>
        <v>1870.918</v>
      </c>
      <c r="D93" s="14"/>
      <c r="E93" s="14">
        <f>E94+E97</f>
        <v>0</v>
      </c>
      <c r="F93" s="15">
        <f>F94+F97</f>
        <v>18.6</v>
      </c>
      <c r="G93" s="93"/>
      <c r="H93" s="93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s="3" customFormat="1" ht="23.25" customHeight="1">
      <c r="A94" s="26" t="s">
        <v>10</v>
      </c>
      <c r="B94" s="148">
        <f t="shared" si="1"/>
        <v>783.2299999999999</v>
      </c>
      <c r="C94" s="119">
        <f>1870.918-C95</f>
        <v>764.6299999999999</v>
      </c>
      <c r="D94" s="119"/>
      <c r="E94" s="119"/>
      <c r="F94" s="121">
        <v>18.6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0" customFormat="1" ht="36.75" customHeight="1">
      <c r="A95" s="32" t="s">
        <v>38</v>
      </c>
      <c r="B95" s="148">
        <f>C95+D95+E95+F95</f>
        <v>1106.288</v>
      </c>
      <c r="C95" s="159">
        <v>1106.288</v>
      </c>
      <c r="D95" s="14"/>
      <c r="E95" s="14"/>
      <c r="F95" s="1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s="30" customFormat="1" ht="27" customHeight="1">
      <c r="A96" s="32" t="s">
        <v>26</v>
      </c>
      <c r="B96" s="89">
        <f>C96+D96+E96+F96</f>
        <v>2.252</v>
      </c>
      <c r="C96" s="160">
        <v>2.252</v>
      </c>
      <c r="D96" s="85"/>
      <c r="E96" s="85"/>
      <c r="F96" s="121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s="3" customFormat="1" ht="23.25" customHeight="1">
      <c r="A97" s="26" t="s">
        <v>7</v>
      </c>
      <c r="B97" s="148">
        <f t="shared" si="1"/>
        <v>0</v>
      </c>
      <c r="C97" s="14">
        <f>C98+C99+C100</f>
        <v>0</v>
      </c>
      <c r="D97" s="14">
        <f>D98+D99+D100</f>
        <v>0</v>
      </c>
      <c r="E97" s="14">
        <f>E98+E99+E100</f>
        <v>0</v>
      </c>
      <c r="F97" s="15">
        <f>F98+F99+F100</f>
        <v>0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23.25" customHeight="1">
      <c r="A98" s="26" t="s">
        <v>8</v>
      </c>
      <c r="B98" s="148">
        <f t="shared" si="1"/>
        <v>0</v>
      </c>
      <c r="C98" s="9"/>
      <c r="D98" s="14"/>
      <c r="E98" s="9"/>
      <c r="F98" s="10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20.25" customHeight="1">
      <c r="A99" s="26" t="s">
        <v>39</v>
      </c>
      <c r="B99" s="148">
        <f t="shared" si="1"/>
        <v>0</v>
      </c>
      <c r="C99" s="9"/>
      <c r="D99" s="9"/>
      <c r="E99" s="9"/>
      <c r="F99" s="10"/>
      <c r="G99" s="60"/>
      <c r="H99" s="60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23.25" customHeight="1">
      <c r="A100" s="26" t="s">
        <v>9</v>
      </c>
      <c r="B100" s="148">
        <f t="shared" si="1"/>
        <v>0</v>
      </c>
      <c r="C100" s="9"/>
      <c r="D100" s="14"/>
      <c r="E100" s="9"/>
      <c r="F100" s="10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23.25" customHeight="1">
      <c r="A101" s="65" t="s">
        <v>57</v>
      </c>
      <c r="B101" s="148">
        <f t="shared" si="1"/>
        <v>36.692</v>
      </c>
      <c r="C101" s="14">
        <f>C102+C103</f>
        <v>0</v>
      </c>
      <c r="D101" s="14"/>
      <c r="E101" s="14">
        <f>E102+E103</f>
        <v>36.692</v>
      </c>
      <c r="F101" s="15">
        <f>F102+F103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23.25" customHeight="1">
      <c r="A102" s="26" t="s">
        <v>10</v>
      </c>
      <c r="B102" s="148">
        <f t="shared" si="1"/>
        <v>36.692</v>
      </c>
      <c r="C102" s="119"/>
      <c r="D102" s="119"/>
      <c r="E102" s="119">
        <v>36.692</v>
      </c>
      <c r="F102" s="121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23.25" customHeight="1">
      <c r="A103" s="26" t="s">
        <v>7</v>
      </c>
      <c r="B103" s="148">
        <f t="shared" si="1"/>
        <v>0</v>
      </c>
      <c r="C103" s="14">
        <f>C104+C105+C106</f>
        <v>0</v>
      </c>
      <c r="D103" s="14">
        <f>D104+D105+D106</f>
        <v>0</v>
      </c>
      <c r="E103" s="14">
        <f>E104+E105+E106</f>
        <v>0</v>
      </c>
      <c r="F103" s="15">
        <f>F104+F105+F106</f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23.25" customHeight="1">
      <c r="A104" s="26" t="s">
        <v>8</v>
      </c>
      <c r="B104" s="148">
        <f t="shared" si="1"/>
        <v>0</v>
      </c>
      <c r="C104" s="9"/>
      <c r="D104" s="14"/>
      <c r="E104" s="9"/>
      <c r="F104" s="10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20.25" customHeight="1">
      <c r="A105" s="26" t="s">
        <v>39</v>
      </c>
      <c r="B105" s="148">
        <f t="shared" si="1"/>
        <v>0</v>
      </c>
      <c r="C105" s="9"/>
      <c r="D105" s="9"/>
      <c r="E105" s="9"/>
      <c r="F105" s="10"/>
      <c r="G105" s="60"/>
      <c r="H105" s="60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23.25" customHeight="1">
      <c r="A106" s="26" t="s">
        <v>9</v>
      </c>
      <c r="B106" s="148">
        <f t="shared" si="1"/>
        <v>0</v>
      </c>
      <c r="C106" s="9"/>
      <c r="D106" s="14"/>
      <c r="E106" s="9"/>
      <c r="F106" s="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44.25" customHeight="1">
      <c r="A107" s="65" t="s">
        <v>14</v>
      </c>
      <c r="B107" s="148">
        <f t="shared" si="1"/>
        <v>121.512</v>
      </c>
      <c r="C107" s="9"/>
      <c r="D107" s="14"/>
      <c r="E107" s="14">
        <f>E108+E109</f>
        <v>0</v>
      </c>
      <c r="F107" s="15">
        <f>F108+F109</f>
        <v>121.512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23.25" customHeight="1">
      <c r="A108" s="26" t="s">
        <v>10</v>
      </c>
      <c r="B108" s="148">
        <f t="shared" si="1"/>
        <v>0.784</v>
      </c>
      <c r="C108" s="9"/>
      <c r="D108" s="14"/>
      <c r="E108" s="14"/>
      <c r="F108" s="121">
        <v>0.784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23.25" customHeight="1">
      <c r="A109" s="26" t="s">
        <v>7</v>
      </c>
      <c r="B109" s="148">
        <f t="shared" si="1"/>
        <v>120.728</v>
      </c>
      <c r="C109" s="14">
        <f>C110+C111+C112</f>
        <v>0</v>
      </c>
      <c r="D109" s="14">
        <f>D110+D111+D112</f>
        <v>0</v>
      </c>
      <c r="E109" s="14">
        <f>E110+E111+E112</f>
        <v>0</v>
      </c>
      <c r="F109" s="15">
        <f>F110+F111+F112</f>
        <v>120.728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23.25" customHeight="1">
      <c r="A110" s="26" t="s">
        <v>8</v>
      </c>
      <c r="B110" s="148">
        <f t="shared" si="1"/>
        <v>120.728</v>
      </c>
      <c r="C110" s="9"/>
      <c r="D110" s="14"/>
      <c r="E110" s="9"/>
      <c r="F110" s="10">
        <v>120.728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20.25" customHeight="1">
      <c r="A111" s="26" t="s">
        <v>39</v>
      </c>
      <c r="B111" s="148">
        <f t="shared" si="1"/>
        <v>0</v>
      </c>
      <c r="C111" s="9"/>
      <c r="D111" s="9"/>
      <c r="E111" s="9"/>
      <c r="F111" s="10"/>
      <c r="G111" s="60"/>
      <c r="H111" s="60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23.25" customHeight="1">
      <c r="A112" s="26" t="s">
        <v>9</v>
      </c>
      <c r="B112" s="148">
        <f t="shared" si="1"/>
        <v>0</v>
      </c>
      <c r="C112" s="9"/>
      <c r="D112" s="14"/>
      <c r="E112" s="9"/>
      <c r="F112" s="10"/>
      <c r="G112" s="58"/>
      <c r="H112" s="58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47.25" customHeight="1">
      <c r="A113" s="65" t="s">
        <v>18</v>
      </c>
      <c r="B113" s="148">
        <f t="shared" si="1"/>
        <v>285.714</v>
      </c>
      <c r="C113" s="9"/>
      <c r="D113" s="14"/>
      <c r="E113" s="14">
        <f>E114+E115</f>
        <v>21.628</v>
      </c>
      <c r="F113" s="15">
        <f>F114+F115</f>
        <v>264.086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23.25" customHeight="1">
      <c r="A114" s="26" t="s">
        <v>10</v>
      </c>
      <c r="B114" s="148">
        <f t="shared" si="1"/>
        <v>83.354</v>
      </c>
      <c r="C114" s="9"/>
      <c r="D114" s="14"/>
      <c r="E114" s="14">
        <v>21.628</v>
      </c>
      <c r="F114" s="121">
        <v>61.726</v>
      </c>
      <c r="G114" s="95"/>
      <c r="H114" s="95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23.25" customHeight="1">
      <c r="A115" s="26" t="s">
        <v>7</v>
      </c>
      <c r="B115" s="148">
        <f t="shared" si="1"/>
        <v>202.36</v>
      </c>
      <c r="C115" s="14">
        <f>C116+C117+C118</f>
        <v>0</v>
      </c>
      <c r="D115" s="14">
        <f>D116+D117+D118</f>
        <v>0</v>
      </c>
      <c r="E115" s="14">
        <f>E116+E117+E118</f>
        <v>0</v>
      </c>
      <c r="F115" s="15">
        <f>F116+F117+F118</f>
        <v>202.36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23.25" customHeight="1">
      <c r="A116" s="26" t="s">
        <v>8</v>
      </c>
      <c r="B116" s="148">
        <f t="shared" si="1"/>
        <v>0</v>
      </c>
      <c r="C116" s="9"/>
      <c r="D116" s="14"/>
      <c r="E116" s="14"/>
      <c r="F116" s="15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20.25" customHeight="1">
      <c r="A117" s="26" t="s">
        <v>39</v>
      </c>
      <c r="B117" s="148">
        <f t="shared" si="1"/>
        <v>0</v>
      </c>
      <c r="C117" s="9"/>
      <c r="D117" s="9"/>
      <c r="E117" s="9"/>
      <c r="F117" s="10"/>
      <c r="G117" s="60"/>
      <c r="H117" s="60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23.25" customHeight="1">
      <c r="A118" s="26" t="s">
        <v>9</v>
      </c>
      <c r="B118" s="148">
        <f t="shared" si="1"/>
        <v>202.36</v>
      </c>
      <c r="C118" s="9"/>
      <c r="D118" s="14"/>
      <c r="E118" s="14"/>
      <c r="F118" s="15">
        <v>202.36</v>
      </c>
      <c r="G118" s="95"/>
      <c r="H118" s="95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23.25" customHeight="1">
      <c r="A119" s="65" t="s">
        <v>13</v>
      </c>
      <c r="B119" s="148">
        <f t="shared" si="1"/>
        <v>190.983</v>
      </c>
      <c r="C119" s="14">
        <f>C120+C121</f>
        <v>0</v>
      </c>
      <c r="D119" s="14"/>
      <c r="E119" s="14">
        <f>E120+E121</f>
        <v>190.983</v>
      </c>
      <c r="F119" s="15">
        <f>F120+F121</f>
        <v>0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23.25" customHeight="1">
      <c r="A120" s="26" t="s">
        <v>10</v>
      </c>
      <c r="B120" s="148">
        <f t="shared" si="1"/>
        <v>190.983</v>
      </c>
      <c r="C120" s="119"/>
      <c r="D120" s="119"/>
      <c r="E120" s="119">
        <v>190.983</v>
      </c>
      <c r="F120" s="121"/>
      <c r="G120" s="95"/>
      <c r="H120" s="95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23.25" customHeight="1">
      <c r="A121" s="26" t="s">
        <v>7</v>
      </c>
      <c r="B121" s="148">
        <f t="shared" si="1"/>
        <v>0</v>
      </c>
      <c r="C121" s="14">
        <f>C122+C123+C124</f>
        <v>0</v>
      </c>
      <c r="D121" s="14">
        <f>D122+D123+D124</f>
        <v>0</v>
      </c>
      <c r="E121" s="14">
        <f>E122+E123+E124</f>
        <v>0</v>
      </c>
      <c r="F121" s="15">
        <f>F122+F123+F124</f>
        <v>0</v>
      </c>
      <c r="G121" s="96"/>
      <c r="H121" s="96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23.25" customHeight="1">
      <c r="A122" s="26" t="s">
        <v>8</v>
      </c>
      <c r="B122" s="148">
        <f t="shared" si="1"/>
        <v>0</v>
      </c>
      <c r="C122" s="9"/>
      <c r="D122" s="14"/>
      <c r="E122" s="9"/>
      <c r="F122" s="10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20.25" customHeight="1">
      <c r="A123" s="26" t="s">
        <v>39</v>
      </c>
      <c r="B123" s="148">
        <f t="shared" si="1"/>
        <v>0</v>
      </c>
      <c r="C123" s="9"/>
      <c r="D123" s="9"/>
      <c r="E123" s="9"/>
      <c r="F123" s="10"/>
      <c r="G123" s="60"/>
      <c r="H123" s="60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23.25" customHeight="1">
      <c r="A124" s="26" t="s">
        <v>9</v>
      </c>
      <c r="B124" s="148">
        <f t="shared" si="1"/>
        <v>0</v>
      </c>
      <c r="C124" s="9"/>
      <c r="D124" s="14"/>
      <c r="E124" s="9"/>
      <c r="F124" s="10"/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25.5" customHeight="1">
      <c r="A125" s="65" t="s">
        <v>62</v>
      </c>
      <c r="B125" s="148">
        <f t="shared" si="1"/>
        <v>31.967</v>
      </c>
      <c r="C125" s="9"/>
      <c r="D125" s="14"/>
      <c r="E125" s="14">
        <f>E126+E127</f>
        <v>0</v>
      </c>
      <c r="F125" s="15">
        <f>F126+F127</f>
        <v>31.967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23.25" customHeight="1">
      <c r="A126" s="26" t="s">
        <v>10</v>
      </c>
      <c r="B126" s="148">
        <f t="shared" si="1"/>
        <v>31.967</v>
      </c>
      <c r="C126" s="9"/>
      <c r="D126" s="14"/>
      <c r="E126" s="14"/>
      <c r="F126" s="121">
        <v>31.967</v>
      </c>
      <c r="G126" s="95"/>
      <c r="H126" s="95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23.25" customHeight="1">
      <c r="A127" s="26" t="s">
        <v>7</v>
      </c>
      <c r="B127" s="148">
        <f t="shared" si="1"/>
        <v>0</v>
      </c>
      <c r="C127" s="14">
        <f>C128+C129+C130</f>
        <v>0</v>
      </c>
      <c r="D127" s="14">
        <f>D128+D129+D130</f>
        <v>0</v>
      </c>
      <c r="E127" s="14">
        <f>E128+E129+E130</f>
        <v>0</v>
      </c>
      <c r="F127" s="15">
        <f>F128+F129+F130</f>
        <v>0</v>
      </c>
      <c r="G127" s="95"/>
      <c r="H127" s="95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23.25" customHeight="1">
      <c r="A128" s="26" t="s">
        <v>8</v>
      </c>
      <c r="B128" s="148">
        <f t="shared" si="1"/>
        <v>0</v>
      </c>
      <c r="C128" s="9"/>
      <c r="D128" s="14"/>
      <c r="E128" s="9"/>
      <c r="F128" s="10"/>
      <c r="G128" s="95"/>
      <c r="H128" s="95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20.25" customHeight="1">
      <c r="A129" s="26" t="s">
        <v>39</v>
      </c>
      <c r="B129" s="148">
        <f>C129+D129+E129+F129</f>
        <v>0</v>
      </c>
      <c r="C129" s="9"/>
      <c r="D129" s="9"/>
      <c r="E129" s="9"/>
      <c r="F129" s="10"/>
      <c r="G129" s="60"/>
      <c r="H129" s="60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23.25" customHeight="1">
      <c r="A130" s="26" t="s">
        <v>9</v>
      </c>
      <c r="B130" s="148">
        <f t="shared" si="1"/>
        <v>0</v>
      </c>
      <c r="C130" s="9"/>
      <c r="D130" s="14"/>
      <c r="E130" s="9"/>
      <c r="F130" s="10"/>
      <c r="G130" s="58"/>
      <c r="H130" s="58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26.25" customHeight="1">
      <c r="A131" s="65"/>
      <c r="B131" s="148">
        <f t="shared" si="1"/>
        <v>543.504</v>
      </c>
      <c r="C131" s="9"/>
      <c r="D131" s="14"/>
      <c r="E131" s="14">
        <f>E132+E133</f>
        <v>543.504</v>
      </c>
      <c r="F131" s="15">
        <f>F132+F133</f>
        <v>0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23.25" customHeight="1">
      <c r="A132" s="26" t="s">
        <v>10</v>
      </c>
      <c r="B132" s="148">
        <f t="shared" si="1"/>
        <v>543.504</v>
      </c>
      <c r="C132" s="9"/>
      <c r="D132" s="14"/>
      <c r="E132" s="9">
        <v>543.504</v>
      </c>
      <c r="F132" s="121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23.25" customHeight="1">
      <c r="A133" s="26" t="s">
        <v>7</v>
      </c>
      <c r="B133" s="148">
        <f aca="true" t="shared" si="2" ref="B133:B142">C133+D133+E133+F133</f>
        <v>0</v>
      </c>
      <c r="C133" s="14">
        <f>C134+C135+C136</f>
        <v>0</v>
      </c>
      <c r="D133" s="14">
        <f>D134+D135+D136</f>
        <v>0</v>
      </c>
      <c r="E133" s="14">
        <f>E134+E135+E136</f>
        <v>0</v>
      </c>
      <c r="F133" s="15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23.25" customHeight="1">
      <c r="A134" s="26" t="s">
        <v>8</v>
      </c>
      <c r="B134" s="148">
        <f t="shared" si="2"/>
        <v>0</v>
      </c>
      <c r="C134" s="9"/>
      <c r="D134" s="14"/>
      <c r="E134" s="14"/>
      <c r="F134" s="1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20.25" customHeight="1">
      <c r="A135" s="26" t="s">
        <v>39</v>
      </c>
      <c r="B135" s="148">
        <f t="shared" si="2"/>
        <v>0</v>
      </c>
      <c r="C135" s="9"/>
      <c r="D135" s="9"/>
      <c r="E135" s="9"/>
      <c r="F135" s="10"/>
      <c r="G135" s="60"/>
      <c r="H135" s="60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23.25" customHeight="1">
      <c r="A136" s="26" t="s">
        <v>9</v>
      </c>
      <c r="B136" s="148">
        <f t="shared" si="2"/>
        <v>0</v>
      </c>
      <c r="C136" s="9"/>
      <c r="D136" s="14"/>
      <c r="E136" s="14"/>
      <c r="F136" s="1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22.5" customHeight="1">
      <c r="A137" s="65" t="s">
        <v>56</v>
      </c>
      <c r="B137" s="148">
        <f t="shared" si="2"/>
        <v>379.393</v>
      </c>
      <c r="C137" s="9"/>
      <c r="D137" s="14"/>
      <c r="E137" s="14">
        <f>E138+E139</f>
        <v>379.393</v>
      </c>
      <c r="F137" s="15">
        <f>F138+F139</f>
        <v>0</v>
      </c>
      <c r="G137" s="58"/>
      <c r="H137" s="58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23.25" customHeight="1">
      <c r="A138" s="26" t="s">
        <v>10</v>
      </c>
      <c r="B138" s="148">
        <f t="shared" si="2"/>
        <v>274.335</v>
      </c>
      <c r="C138" s="9"/>
      <c r="D138" s="14"/>
      <c r="E138" s="14">
        <v>274.335</v>
      </c>
      <c r="F138" s="121"/>
      <c r="G138" s="61"/>
      <c r="H138" s="61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23.25" customHeight="1">
      <c r="A139" s="26" t="s">
        <v>7</v>
      </c>
      <c r="B139" s="148">
        <f t="shared" si="2"/>
        <v>105.058</v>
      </c>
      <c r="C139" s="14">
        <f>C140+C141+C142</f>
        <v>0</v>
      </c>
      <c r="D139" s="14">
        <f>D140+D141+D142</f>
        <v>0</v>
      </c>
      <c r="E139" s="14">
        <f>E140+E141+E142</f>
        <v>105.058</v>
      </c>
      <c r="F139" s="15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23.25" customHeight="1">
      <c r="A140" s="26" t="s">
        <v>8</v>
      </c>
      <c r="B140" s="148">
        <f t="shared" si="2"/>
        <v>105.058</v>
      </c>
      <c r="C140" s="9"/>
      <c r="D140" s="14"/>
      <c r="E140" s="14">
        <v>105.058</v>
      </c>
      <c r="F140" s="15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20.25" customHeight="1">
      <c r="A141" s="26" t="s">
        <v>39</v>
      </c>
      <c r="B141" s="148">
        <f t="shared" si="2"/>
        <v>0</v>
      </c>
      <c r="C141" s="9"/>
      <c r="D141" s="9"/>
      <c r="E141" s="9"/>
      <c r="F141" s="10"/>
      <c r="G141" s="60"/>
      <c r="H141" s="60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23.25" customHeight="1">
      <c r="A142" s="26" t="s">
        <v>9</v>
      </c>
      <c r="B142" s="148">
        <f t="shared" si="2"/>
        <v>0</v>
      </c>
      <c r="C142" s="9"/>
      <c r="D142" s="14"/>
      <c r="E142" s="14"/>
      <c r="F142" s="15"/>
      <c r="G142" s="61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24.75" customHeight="1">
      <c r="A143" s="65" t="s">
        <v>6</v>
      </c>
      <c r="B143" s="148">
        <f>C143+D143+E143+F143</f>
        <v>1841.116</v>
      </c>
      <c r="C143" s="14">
        <f>C144+C145</f>
        <v>0</v>
      </c>
      <c r="D143" s="14"/>
      <c r="E143" s="14">
        <f>E144+E145</f>
        <v>825.4870000000001</v>
      </c>
      <c r="F143" s="15">
        <f>F144+F145</f>
        <v>1015.629</v>
      </c>
      <c r="G143" s="61"/>
      <c r="H143" s="61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24.75" customHeight="1">
      <c r="A144" s="26" t="s">
        <v>10</v>
      </c>
      <c r="B144" s="148">
        <f aca="true" t="shared" si="3" ref="B144:B177">C144+D144+E144+F144</f>
        <v>857.09</v>
      </c>
      <c r="C144" s="14"/>
      <c r="D144" s="14"/>
      <c r="E144" s="14">
        <v>590.902</v>
      </c>
      <c r="F144" s="15">
        <v>266.188</v>
      </c>
      <c r="G144" s="61"/>
      <c r="H144" s="61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24.75" customHeight="1">
      <c r="A145" s="26" t="s">
        <v>7</v>
      </c>
      <c r="B145" s="148">
        <f>C145+D145+E145+F145</f>
        <v>984.0260000000001</v>
      </c>
      <c r="C145" s="14">
        <f>C146+C147+C148</f>
        <v>0</v>
      </c>
      <c r="D145" s="14">
        <f>D146+D147+D148</f>
        <v>0</v>
      </c>
      <c r="E145" s="14">
        <f>E146+E147+E148</f>
        <v>234.585</v>
      </c>
      <c r="F145" s="15">
        <f>F146+F147+F148</f>
        <v>749.441</v>
      </c>
      <c r="G145" s="38"/>
      <c r="H145" s="61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3" customFormat="1" ht="24.75" customHeight="1">
      <c r="A146" s="26" t="s">
        <v>8</v>
      </c>
      <c r="B146" s="148">
        <f t="shared" si="3"/>
        <v>643.7180000000001</v>
      </c>
      <c r="C146" s="14"/>
      <c r="D146" s="14"/>
      <c r="E146" s="9">
        <v>182.668</v>
      </c>
      <c r="F146" s="10">
        <v>461.05</v>
      </c>
      <c r="G146" s="38"/>
      <c r="H146" s="62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20.25" customHeight="1">
      <c r="A147" s="26" t="s">
        <v>39</v>
      </c>
      <c r="B147" s="148">
        <f t="shared" si="3"/>
        <v>146.8</v>
      </c>
      <c r="C147" s="9"/>
      <c r="D147" s="9"/>
      <c r="E147" s="9">
        <v>49.1</v>
      </c>
      <c r="F147" s="10">
        <v>97.7</v>
      </c>
      <c r="G147" s="38"/>
      <c r="H147" s="38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18" s="3" customFormat="1" ht="24.75" customHeight="1">
      <c r="A148" s="26" t="s">
        <v>9</v>
      </c>
      <c r="B148" s="148">
        <f t="shared" si="3"/>
        <v>193.508</v>
      </c>
      <c r="C148" s="14"/>
      <c r="D148" s="14"/>
      <c r="E148" s="9">
        <v>2.817</v>
      </c>
      <c r="F148" s="10">
        <v>190.691</v>
      </c>
      <c r="G148" s="37"/>
      <c r="H148" s="37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spans="1:18" s="97" customFormat="1" ht="24.75" customHeight="1">
      <c r="A149" s="65" t="s">
        <v>5</v>
      </c>
      <c r="B149" s="148">
        <f>C149+D149+E149+F149</f>
        <v>3666.54</v>
      </c>
      <c r="C149" s="14">
        <f>C150+C151+C153</f>
        <v>386.925</v>
      </c>
      <c r="D149" s="14"/>
      <c r="E149" s="14">
        <f>E150+E153</f>
        <v>2047.1380000000001</v>
      </c>
      <c r="F149" s="15">
        <f>F150+F153</f>
        <v>1232.477</v>
      </c>
      <c r="G149" s="58"/>
      <c r="H149" s="58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18" s="3" customFormat="1" ht="24.75" customHeight="1">
      <c r="A150" s="26" t="s">
        <v>10</v>
      </c>
      <c r="B150" s="148">
        <f t="shared" si="3"/>
        <v>1773.5140000000001</v>
      </c>
      <c r="C150" s="14"/>
      <c r="D150" s="14"/>
      <c r="E150" s="14">
        <v>1542.911</v>
      </c>
      <c r="F150" s="15">
        <v>230.603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6" s="30" customFormat="1" ht="36.75" customHeight="1">
      <c r="A151" s="32" t="s">
        <v>50</v>
      </c>
      <c r="B151" s="148">
        <f t="shared" si="3"/>
        <v>386.925</v>
      </c>
      <c r="C151" s="160">
        <v>386.925</v>
      </c>
      <c r="D151" s="14"/>
      <c r="E151" s="14"/>
      <c r="F151" s="15"/>
    </row>
    <row r="152" spans="1:6" s="30" customFormat="1" ht="23.25" customHeight="1">
      <c r="A152" s="32" t="s">
        <v>26</v>
      </c>
      <c r="B152" s="89">
        <f t="shared" si="3"/>
        <v>0.584</v>
      </c>
      <c r="C152" s="160">
        <v>0.584</v>
      </c>
      <c r="D152" s="85"/>
      <c r="E152" s="85"/>
      <c r="F152" s="121"/>
    </row>
    <row r="153" spans="1:18" s="3" customFormat="1" ht="24.75" customHeight="1">
      <c r="A153" s="26" t="s">
        <v>7</v>
      </c>
      <c r="B153" s="148">
        <f>C153+D153+E153+F153</f>
        <v>1506.101</v>
      </c>
      <c r="C153" s="14">
        <f>C154+C155+C156</f>
        <v>0</v>
      </c>
      <c r="D153" s="14">
        <f>D154+D155+D156</f>
        <v>0</v>
      </c>
      <c r="E153" s="15">
        <f>E154+E155+E156</f>
        <v>504.22700000000003</v>
      </c>
      <c r="F153" s="15">
        <f>F154+F155+F156</f>
        <v>1001.874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24.75" customHeight="1">
      <c r="A154" s="26" t="s">
        <v>8</v>
      </c>
      <c r="B154" s="148">
        <f t="shared" si="3"/>
        <v>1135.409</v>
      </c>
      <c r="C154" s="9"/>
      <c r="D154" s="9"/>
      <c r="E154" s="9">
        <v>295.545</v>
      </c>
      <c r="F154" s="10">
        <v>839.864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20.25" customHeight="1">
      <c r="A155" s="26" t="s">
        <v>39</v>
      </c>
      <c r="B155" s="148">
        <f t="shared" si="3"/>
        <v>343.933</v>
      </c>
      <c r="C155" s="9"/>
      <c r="D155" s="9"/>
      <c r="E155" s="9">
        <v>181.923</v>
      </c>
      <c r="F155" s="10">
        <v>162.01</v>
      </c>
      <c r="G155" s="60"/>
      <c r="H155" s="60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24.75" customHeight="1">
      <c r="A156" s="26" t="s">
        <v>9</v>
      </c>
      <c r="B156" s="148">
        <f t="shared" si="3"/>
        <v>26.759</v>
      </c>
      <c r="C156" s="9"/>
      <c r="D156" s="9"/>
      <c r="E156" s="9">
        <v>26.759</v>
      </c>
      <c r="F156" s="10">
        <v>0</v>
      </c>
      <c r="G156" s="60"/>
      <c r="H156" s="60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24" customHeight="1">
      <c r="A157" s="65" t="s">
        <v>17</v>
      </c>
      <c r="B157" s="148">
        <f>C157+D157+E157+F157</f>
        <v>7346.8330000000005</v>
      </c>
      <c r="C157" s="14">
        <f>C158+C159</f>
        <v>0</v>
      </c>
      <c r="D157" s="14">
        <f>D158+D159</f>
        <v>0</v>
      </c>
      <c r="E157" s="14">
        <f>E158+E159</f>
        <v>1597.846</v>
      </c>
      <c r="F157" s="15">
        <f>F158+F159</f>
        <v>5748.987000000001</v>
      </c>
      <c r="G157" s="60"/>
      <c r="H157" s="60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26.25" customHeight="1">
      <c r="A158" s="26" t="s">
        <v>10</v>
      </c>
      <c r="B158" s="148">
        <f t="shared" si="3"/>
        <v>3144.66</v>
      </c>
      <c r="C158" s="14"/>
      <c r="D158" s="14"/>
      <c r="E158" s="14">
        <v>1545.997</v>
      </c>
      <c r="F158" s="15">
        <v>1598.663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24.75" customHeight="1">
      <c r="A159" s="26" t="s">
        <v>7</v>
      </c>
      <c r="B159" s="148">
        <f t="shared" si="3"/>
        <v>4202.173000000001</v>
      </c>
      <c r="C159" s="14">
        <f>C160+C161+C162</f>
        <v>0</v>
      </c>
      <c r="D159" s="14">
        <f>D160+D161+D162</f>
        <v>0</v>
      </c>
      <c r="E159" s="14">
        <f>E160+E161+E162</f>
        <v>51.849000000000004</v>
      </c>
      <c r="F159" s="15">
        <f>F160+F161+F162</f>
        <v>4150.3240000000005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3" customFormat="1" ht="26.25" customHeight="1">
      <c r="A160" s="26" t="s">
        <v>8</v>
      </c>
      <c r="B160" s="148">
        <f t="shared" si="3"/>
        <v>471.283</v>
      </c>
      <c r="C160" s="9"/>
      <c r="D160" s="14"/>
      <c r="E160" s="9">
        <v>19.846</v>
      </c>
      <c r="F160" s="10">
        <v>451.437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</row>
    <row r="161" spans="1:18" s="3" customFormat="1" ht="20.25" customHeight="1">
      <c r="A161" s="26" t="s">
        <v>39</v>
      </c>
      <c r="B161" s="148">
        <f t="shared" si="3"/>
        <v>0</v>
      </c>
      <c r="C161" s="9"/>
      <c r="D161" s="9"/>
      <c r="E161" s="9"/>
      <c r="F161" s="10"/>
      <c r="G161" s="60"/>
      <c r="H161" s="60"/>
      <c r="I161" s="54"/>
      <c r="J161" s="54"/>
      <c r="K161" s="54"/>
      <c r="L161" s="54"/>
      <c r="M161" s="54"/>
      <c r="N161" s="54"/>
      <c r="O161" s="54"/>
      <c r="P161" s="54"/>
      <c r="Q161" s="54"/>
      <c r="R161" s="54"/>
    </row>
    <row r="162" spans="1:18" s="3" customFormat="1" ht="26.25" customHeight="1" thickBot="1">
      <c r="A162" s="25" t="s">
        <v>9</v>
      </c>
      <c r="B162" s="161">
        <f t="shared" si="3"/>
        <v>3730.8900000000003</v>
      </c>
      <c r="C162" s="19"/>
      <c r="D162" s="122"/>
      <c r="E162" s="19">
        <v>32.003</v>
      </c>
      <c r="F162" s="28">
        <v>3698.887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4" customFormat="1" ht="24.75" customHeight="1" thickBot="1">
      <c r="A163" s="98" t="s">
        <v>10</v>
      </c>
      <c r="B163" s="162">
        <f t="shared" si="3"/>
        <v>95334.031</v>
      </c>
      <c r="C163" s="163">
        <f>C164+C165+C169</f>
        <v>43110.448000000004</v>
      </c>
      <c r="D163" s="163">
        <f>D164+D165+D169</f>
        <v>2609.392</v>
      </c>
      <c r="E163" s="163">
        <f>E164+E165+E169</f>
        <v>32997.581000000006</v>
      </c>
      <c r="F163" s="164">
        <f>F164+F165+F169</f>
        <v>16616.609999999997</v>
      </c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1:18" s="23" customFormat="1" ht="24.75" customHeight="1">
      <c r="A164" s="33" t="s">
        <v>40</v>
      </c>
      <c r="B164" s="147">
        <f t="shared" si="3"/>
        <v>74996.456</v>
      </c>
      <c r="C164" s="67">
        <f>C9+C24+C30+C36+C42+C50+C56+C62+C68+C74+C86+C94+C102+C108+C114+C120+C126+C132+C138+C144+C150+C158</f>
        <v>28347.311999999998</v>
      </c>
      <c r="D164" s="67">
        <f>D9+D24+D30+D36+D42+D50+D56+D62+D68+D74+D86+D94+D102+D108+D114+D120+D126+D132+D138+D144+D150+D158</f>
        <v>2163.183</v>
      </c>
      <c r="E164" s="67">
        <f>E9+E24+E30+E36+E42+E50+E56+E62+E68+E74+E86+E94+E102+E108+E114+E120+E126+E132+E138+E144+E150+E158</f>
        <v>27982.381000000005</v>
      </c>
      <c r="F164" s="68">
        <f>F9+F24+F30+F36+F42+F50+F56+F62+F68+F74+F86+F94+F102+F108+F114+F120+F126+F132+F138+F144+F150+F158</f>
        <v>16503.579999999998</v>
      </c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1:18" s="24" customFormat="1" ht="24.75" customHeight="1">
      <c r="A165" s="33" t="s">
        <v>42</v>
      </c>
      <c r="B165" s="148">
        <f t="shared" si="3"/>
        <v>19179.688000000002</v>
      </c>
      <c r="C165" s="14">
        <f>C10+C43+C75+C87+C95+C151</f>
        <v>13605.249000000002</v>
      </c>
      <c r="D165" s="14">
        <f aca="true" t="shared" si="4" ref="D165:F166">D10+D43+D75+D95</f>
        <v>446.209</v>
      </c>
      <c r="E165" s="14">
        <f t="shared" si="4"/>
        <v>5015.2</v>
      </c>
      <c r="F165" s="15">
        <f t="shared" si="4"/>
        <v>113.03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</row>
    <row r="166" spans="1:18" s="1" customFormat="1" ht="24.75" customHeight="1">
      <c r="A166" s="33" t="s">
        <v>41</v>
      </c>
      <c r="B166" s="148">
        <f t="shared" si="3"/>
        <v>31.485999999999997</v>
      </c>
      <c r="C166" s="14">
        <f>C11+C44+C76+C88+C96+C152</f>
        <v>21.301</v>
      </c>
      <c r="D166" s="14">
        <f t="shared" si="4"/>
        <v>1.344</v>
      </c>
      <c r="E166" s="14">
        <f t="shared" si="4"/>
        <v>8.665</v>
      </c>
      <c r="F166" s="15">
        <f t="shared" si="4"/>
        <v>0.176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s="24" customFormat="1" ht="33" customHeight="1">
      <c r="A167" s="26" t="s">
        <v>45</v>
      </c>
      <c r="B167" s="148">
        <f t="shared" si="3"/>
        <v>2986.098</v>
      </c>
      <c r="C167" s="14">
        <f>C16</f>
        <v>2986.098</v>
      </c>
      <c r="D167" s="14">
        <f>D16</f>
        <v>0</v>
      </c>
      <c r="E167" s="14">
        <f>E16</f>
        <v>0</v>
      </c>
      <c r="F167" s="15">
        <f>F16</f>
        <v>0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</row>
    <row r="168" spans="1:18" s="1" customFormat="1" ht="24.75" customHeight="1">
      <c r="A168" s="33" t="s">
        <v>46</v>
      </c>
      <c r="B168" s="148">
        <f t="shared" si="3"/>
        <v>6.03</v>
      </c>
      <c r="C168" s="14">
        <f>C18</f>
        <v>6.03</v>
      </c>
      <c r="D168" s="14">
        <f>D18</f>
        <v>0</v>
      </c>
      <c r="E168" s="14">
        <f>E18</f>
        <v>0</v>
      </c>
      <c r="F168" s="15">
        <f>F18</f>
        <v>0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8" s="24" customFormat="1" ht="24.75" customHeight="1">
      <c r="A169" s="100" t="s">
        <v>22</v>
      </c>
      <c r="B169" s="148">
        <f t="shared" si="3"/>
        <v>1157.887</v>
      </c>
      <c r="C169" s="14">
        <f>C7</f>
        <v>1157.887</v>
      </c>
      <c r="D169" s="14"/>
      <c r="E169" s="14"/>
      <c r="F169" s="15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</row>
    <row r="170" spans="1:18" s="4" customFormat="1" ht="24.75" customHeight="1" thickBot="1">
      <c r="A170" s="101" t="s">
        <v>23</v>
      </c>
      <c r="B170" s="161">
        <f t="shared" si="3"/>
        <v>3.05</v>
      </c>
      <c r="C170" s="122">
        <f>C8</f>
        <v>3.05</v>
      </c>
      <c r="D170" s="122"/>
      <c r="E170" s="122"/>
      <c r="F170" s="123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 thickBot="1">
      <c r="A171" s="98" t="s">
        <v>11</v>
      </c>
      <c r="B171" s="165">
        <f t="shared" si="3"/>
        <v>32494.767</v>
      </c>
      <c r="C171" s="124">
        <f>C172+C173+C174</f>
        <v>202.183</v>
      </c>
      <c r="D171" s="124">
        <f>D172+D173+D174</f>
        <v>1.84</v>
      </c>
      <c r="E171" s="124">
        <f>E172+E173+E174</f>
        <v>2468.09</v>
      </c>
      <c r="F171" s="125">
        <f>F172+F173+F174</f>
        <v>29822.654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106" t="s">
        <v>8</v>
      </c>
      <c r="B172" s="166">
        <f t="shared" si="3"/>
        <v>12694.999999999996</v>
      </c>
      <c r="C172" s="126">
        <f>C13+C26+C32+C38+C46+C52+C58+C64+C70+C82+C90+C98+C104+C110+C116+C122+C128+C134+C140+C146+C154+C160</f>
        <v>26.64</v>
      </c>
      <c r="D172" s="126">
        <f>D13+D26+D32+D38+D46+D52+D58+D64+D70+D82+D90+D98+D104+D110+D116+D122+D128+D134+D140+D146+D154+D160</f>
        <v>0</v>
      </c>
      <c r="E172" s="126">
        <f>E13+E26+E32+E38+E46+E52+E58+E64+E70+E82+E90+E98+E104+E110+E116+E122+E128+E134+E140+E146+E154+E160</f>
        <v>1067.392</v>
      </c>
      <c r="F172" s="127">
        <f>F13+F26+F32+F38+F46+F52+F58+F64+F70+F82+F90+F98+F104+F110+F116+F122+F128+F134+F140+F146+F154+F160</f>
        <v>11600.967999999997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4.75" customHeight="1">
      <c r="A173" s="108" t="s">
        <v>39</v>
      </c>
      <c r="B173" s="148">
        <f t="shared" si="3"/>
        <v>626.7</v>
      </c>
      <c r="C173" s="14">
        <f>C14+C47+C147+C155</f>
        <v>0</v>
      </c>
      <c r="D173" s="14">
        <f>D14+D47+D147+D155</f>
        <v>0</v>
      </c>
      <c r="E173" s="14">
        <f>E14+E47+E147+E155</f>
        <v>231.023</v>
      </c>
      <c r="F173" s="15">
        <f>F14+F47+F147+F155</f>
        <v>395.677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4.75" customHeight="1" thickBot="1">
      <c r="A174" s="109" t="s">
        <v>9</v>
      </c>
      <c r="B174" s="161">
        <f t="shared" si="3"/>
        <v>19173.067000000003</v>
      </c>
      <c r="C174" s="122">
        <f>C15+C28+C34+C40++C48+C54+C60+C66+C72+C84+C92+C100+C106+C112+C118+C124+C130+C136+C142+C148+C156+C162</f>
        <v>175.543</v>
      </c>
      <c r="D174" s="122">
        <f>D15+D28+D34+D40++D48+D54+D60+D66+D72+D84+D92+D100+D106+D112+D118+D124+D130+D136+D142+D148+D156+D162</f>
        <v>1.84</v>
      </c>
      <c r="E174" s="122">
        <f>E15+E28+E34+E40++E48+E54+E60+E66+E72+E84+E92+E100+E106+E112+E118+E124+E130+E136+E142+E148+E156+E162</f>
        <v>1169.675</v>
      </c>
      <c r="F174" s="123">
        <f>F15+F28+F34+F40++F48+F54+F60+F66+F72+F84+F92+F100+F106+F112+F118+F124+F130+F136+F142+F148+F156+F162</f>
        <v>17826.009000000002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4.75" customHeight="1" thickBot="1">
      <c r="A175" s="110" t="s">
        <v>28</v>
      </c>
      <c r="B175" s="128">
        <f>B176+B177</f>
        <v>40.565999999999995</v>
      </c>
      <c r="C175" s="129">
        <f>C176+C177</f>
        <v>30.380999999999997</v>
      </c>
      <c r="D175" s="129">
        <f>D176+D177</f>
        <v>1.344</v>
      </c>
      <c r="E175" s="129">
        <f>E176+E177</f>
        <v>8.665</v>
      </c>
      <c r="F175" s="130">
        <f>F176+F177</f>
        <v>0.176</v>
      </c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4" customFormat="1" ht="27.75" customHeight="1">
      <c r="A176" s="113" t="s">
        <v>29</v>
      </c>
      <c r="B176" s="147">
        <f t="shared" si="3"/>
        <v>37.516</v>
      </c>
      <c r="C176" s="67">
        <f>C11+C18+C44+C76+C88+C96+C152</f>
        <v>27.330999999999996</v>
      </c>
      <c r="D176" s="67">
        <f>D11+D44+D76+D96</f>
        <v>1.344</v>
      </c>
      <c r="E176" s="67">
        <f>E11+E44+E76+E96</f>
        <v>8.665</v>
      </c>
      <c r="F176" s="68">
        <f>F11+F44+F76+F96</f>
        <v>0.176</v>
      </c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4" customFormat="1" ht="27.75" customHeight="1" thickBot="1">
      <c r="A177" s="114" t="s">
        <v>37</v>
      </c>
      <c r="B177" s="161">
        <f t="shared" si="3"/>
        <v>3.05</v>
      </c>
      <c r="C177" s="122">
        <f>C8</f>
        <v>3.05</v>
      </c>
      <c r="D177" s="122">
        <f>D8</f>
        <v>0</v>
      </c>
      <c r="E177" s="122">
        <f>E8</f>
        <v>0</v>
      </c>
      <c r="F177" s="123">
        <f>F8</f>
        <v>0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4" customFormat="1" ht="24" thickBot="1">
      <c r="A178" s="36"/>
      <c r="B178" s="167">
        <f>C178+D178+E178+F178</f>
        <v>40.467</v>
      </c>
      <c r="C178" s="168">
        <v>26.981</v>
      </c>
      <c r="D178" s="168">
        <v>1.394</v>
      </c>
      <c r="E178" s="168">
        <v>11.913</v>
      </c>
      <c r="F178" s="168">
        <v>0.179</v>
      </c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22" customFormat="1" ht="26.25" customHeight="1" thickBot="1">
      <c r="A179" s="49" t="s">
        <v>51</v>
      </c>
      <c r="B179" s="128">
        <f>C179+D179+E179+F179</f>
        <v>85668.196</v>
      </c>
      <c r="C179" s="130">
        <f>C5</f>
        <v>30353.495</v>
      </c>
      <c r="D179" s="130">
        <f>D5</f>
        <v>1807.458</v>
      </c>
      <c r="E179" s="130">
        <f>E5</f>
        <v>23904.985</v>
      </c>
      <c r="F179" s="130">
        <f>F5</f>
        <v>29602.257999999998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22" customFormat="1" ht="26.25" customHeight="1" thickBot="1">
      <c r="A180" s="49" t="s">
        <v>53</v>
      </c>
      <c r="B180" s="128">
        <f>C180+D180+E180+F180</f>
        <v>2986.098</v>
      </c>
      <c r="C180" s="164">
        <f>C16</f>
        <v>2986.098</v>
      </c>
      <c r="D180" s="164">
        <f>D16</f>
        <v>0</v>
      </c>
      <c r="E180" s="164">
        <f>E16</f>
        <v>0</v>
      </c>
      <c r="F180" s="164">
        <f>F16</f>
        <v>0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22" customFormat="1" ht="26.25" customHeight="1" thickBot="1">
      <c r="A181" s="49" t="s">
        <v>52</v>
      </c>
      <c r="B181" s="128">
        <f>C181+D181+E181+F181</f>
        <v>42160.602</v>
      </c>
      <c r="C181" s="164">
        <f>C23+C29+C35+C41+C49+C55+C61+C67+C73+C85+C93+C101+C107+C113+C119+C125+C131+C137+C143+C149+C157</f>
        <v>12959.136</v>
      </c>
      <c r="D181" s="164">
        <f>D23+D29+D35+D41+D49+D55+D61+D67+D73+D85+D93+D101+D107+D113+D119+D125+D131+D137+D143+D149+D157</f>
        <v>803.774</v>
      </c>
      <c r="E181" s="164">
        <f>E23+E29+E35+E41+E49+E55+E61+E67+E73+E85+E93+E101+E107+E113+E119+E125+E131+E137+E143+E149+E157</f>
        <v>11560.685999999998</v>
      </c>
      <c r="F181" s="164">
        <f>F23+F29+F35+F41+F49+F55+F61+F67+F73+F85+F93+F101+F107+F113+F119+F125+F131+F137+F143+F149+F157</f>
        <v>16837.006</v>
      </c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4" thickBot="1">
      <c r="A182" s="36"/>
      <c r="B182" s="169">
        <f>C182+D182+E182+F182</f>
        <v>130814.896</v>
      </c>
      <c r="C182" s="128">
        <f>SUM(C179:C181)</f>
        <v>46298.729</v>
      </c>
      <c r="D182" s="128">
        <f>SUM(D179:D181)</f>
        <v>2611.232</v>
      </c>
      <c r="E182" s="128">
        <f>SUM(E179:E181)</f>
        <v>35465.671</v>
      </c>
      <c r="F182" s="128">
        <f>SUM(F179:F181)</f>
        <v>46439.263999999996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7:18" s="4" customFormat="1" ht="23.25"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7:18" s="4" customFormat="1" ht="23.25"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7:18" s="4" customFormat="1" ht="23.25"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7:18" s="4" customFormat="1" ht="23.25"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7:18" s="4" customFormat="1" ht="23.25"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7:18" s="4" customFormat="1" ht="23.25"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7:18" s="4" customFormat="1" ht="23.25"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7:18" s="4" customFormat="1" ht="23.25"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7:18" s="4" customFormat="1" ht="23.25"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7:18" s="4" customFormat="1" ht="23.25"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7:18" s="4" customFormat="1" ht="23.25"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7:18" s="4" customFormat="1" ht="23.25"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7:18" s="4" customFormat="1" ht="23.25"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7:18" s="4" customFormat="1" ht="23.25"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7:18" s="4" customFormat="1" ht="23.25"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7:18" s="4" customFormat="1" ht="23.25"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7:18" s="4" customFormat="1" ht="23.25"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7:18" s="4" customFormat="1" ht="23.25"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7:18" s="4" customFormat="1" ht="23.25"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7:18" s="4" customFormat="1" ht="23.25"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7:18" s="4" customFormat="1" ht="23.25"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7:18" s="4" customFormat="1" ht="23.25"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7:18" s="4" customFormat="1" ht="23.25"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7:18" s="4" customFormat="1" ht="23.25"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7:18" s="4" customFormat="1" ht="23.25"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7:18" s="4" customFormat="1" ht="23.25"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7:18" s="4" customFormat="1" ht="23.25"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7:18" s="4" customFormat="1" ht="23.25"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7:18" s="4" customFormat="1" ht="23.25"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  <row r="212" spans="7:18" s="4" customFormat="1" ht="23.25"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</row>
    <row r="213" spans="7:18" s="4" customFormat="1" ht="23.25"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</row>
    <row r="214" spans="7:18" s="4" customFormat="1" ht="23.25"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81" sqref="H181"/>
    </sheetView>
  </sheetViews>
  <sheetFormatPr defaultColWidth="9.00390625" defaultRowHeight="12.75"/>
  <cols>
    <col min="1" max="1" width="67.875" style="172" customWidth="1"/>
    <col min="2" max="6" width="25.25390625" style="172" customWidth="1"/>
    <col min="7" max="7" width="20.875" style="56" customWidth="1"/>
    <col min="8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9" t="s">
        <v>92</v>
      </c>
      <c r="B2" s="280"/>
      <c r="C2" s="280"/>
      <c r="D2" s="280"/>
      <c r="E2" s="280"/>
      <c r="F2" s="280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219" t="s">
        <v>93</v>
      </c>
      <c r="B4" s="220"/>
      <c r="C4" s="221" t="s">
        <v>0</v>
      </c>
      <c r="D4" s="221" t="s">
        <v>1</v>
      </c>
      <c r="E4" s="221" t="s">
        <v>2</v>
      </c>
      <c r="F4" s="22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223" t="s">
        <v>20</v>
      </c>
      <c r="B5" s="217">
        <f aca="true" t="shared" si="0" ref="B5:B86">C5+D5+E5+F5</f>
        <v>73991.152</v>
      </c>
      <c r="C5" s="217">
        <f>C7+C9+C10+C12</f>
        <v>24633.156999999996</v>
      </c>
      <c r="D5" s="217">
        <f>D7+D9+D10+D12</f>
        <v>1678.723</v>
      </c>
      <c r="E5" s="217">
        <f>E7+E9+E10+E12</f>
        <v>20412.028</v>
      </c>
      <c r="F5" s="218">
        <f>F7+F9+F10+F12</f>
        <v>27267.244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195" t="s">
        <v>27</v>
      </c>
      <c r="B6" s="196">
        <f t="shared" si="0"/>
        <v>23.85</v>
      </c>
      <c r="C6" s="196">
        <f>C8+C11</f>
        <v>12.842000000000002</v>
      </c>
      <c r="D6" s="196">
        <f>D8+D11</f>
        <v>1.417</v>
      </c>
      <c r="E6" s="196">
        <f>E8+E11</f>
        <v>9.374</v>
      </c>
      <c r="F6" s="197">
        <f>F8+F11</f>
        <v>0.21699999999999994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195" t="s">
        <v>22</v>
      </c>
      <c r="B7" s="196">
        <f t="shared" si="0"/>
        <v>1247.814</v>
      </c>
      <c r="C7" s="196">
        <v>1247.814</v>
      </c>
      <c r="D7" s="196"/>
      <c r="E7" s="196"/>
      <c r="F7" s="197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195" t="s">
        <v>23</v>
      </c>
      <c r="B8" s="196">
        <f t="shared" si="0"/>
        <v>3.318</v>
      </c>
      <c r="C8" s="196">
        <v>3.318</v>
      </c>
      <c r="D8" s="196"/>
      <c r="E8" s="196"/>
      <c r="F8" s="197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198" t="s">
        <v>24</v>
      </c>
      <c r="B9" s="196">
        <f t="shared" si="0"/>
        <v>44542.456</v>
      </c>
      <c r="C9" s="196">
        <f>24106.513-39.269-43.775-343.8+4.078-566.225-2432.183+155.27+12.255-1908.2+1447.814+C201+C202+C203-3909.986+500-150+2300+13.261+500-569.763-722.105-430-1.114+609.986+C33</f>
        <v>18545.256999999998</v>
      </c>
      <c r="D9" s="196">
        <f>590.928-11.226+475+125</f>
        <v>1179.702</v>
      </c>
      <c r="E9" s="196">
        <f>15958.991+5525.901+573.541-566.225+10.402-4.078-445.769-5134.465-300-750+25-15+161.514-100+E25+E49</f>
        <v>14959.111999999997</v>
      </c>
      <c r="F9" s="197">
        <f>9212.339+1584.204-10.402-126.595+39.864-6.113-5.634+210.136-1100+35+4.122+39.864-35+F45+F80+F122+F25+F49</f>
        <v>9858.385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198" t="s">
        <v>25</v>
      </c>
      <c r="B10" s="225">
        <f t="shared" si="0"/>
        <v>10305.676999999998</v>
      </c>
      <c r="C10" s="225">
        <f>3635.086+1908.2-1447.814-C201-C202-C203+722.105+1.114-C33</f>
        <v>4806.190999999999</v>
      </c>
      <c r="D10" s="225">
        <f>622.491-125</f>
        <v>497.491</v>
      </c>
      <c r="E10" s="225">
        <f>5135.982-161.514-E25-E33-E41-E49-E69-E77-E91-E99-E119-E157</f>
        <v>4955.168</v>
      </c>
      <c r="F10" s="226">
        <f>35+99.377-F25-F33-F41-F49-F69-F77-F91-F99-F119-F157</f>
        <v>46.82700000000001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198" t="s">
        <v>26</v>
      </c>
      <c r="B11" s="225">
        <f t="shared" si="0"/>
        <v>20.532000000000004</v>
      </c>
      <c r="C11" s="225">
        <f>32.209-22.754-1.351-0.3+0.394+1.351-C34</f>
        <v>9.524000000000003</v>
      </c>
      <c r="D11" s="225">
        <v>1.417</v>
      </c>
      <c r="E11" s="225">
        <f>9.406-E26-E34-E42-E50-E70-E78-E92-E100-E120-E158</f>
        <v>9.374</v>
      </c>
      <c r="F11" s="226">
        <f>0.346-F26-F34-F42-F50-F70-F78-F92-F100-F120-F158</f>
        <v>0.21699999999999994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199" t="s">
        <v>7</v>
      </c>
      <c r="B12" s="196">
        <f t="shared" si="0"/>
        <v>17895.204999999998</v>
      </c>
      <c r="C12" s="196">
        <f>C13+C14+C15</f>
        <v>33.895</v>
      </c>
      <c r="D12" s="196">
        <f>D13+D14+D15</f>
        <v>1.53</v>
      </c>
      <c r="E12" s="196">
        <f>E13+E14+E15</f>
        <v>497.748</v>
      </c>
      <c r="F12" s="197">
        <f>F13+F14+F15</f>
        <v>17362.032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199" t="s">
        <v>8</v>
      </c>
      <c r="B13" s="196">
        <f t="shared" si="0"/>
        <v>4956.924999999999</v>
      </c>
      <c r="C13" s="200">
        <f>19.518-19.518</f>
        <v>0</v>
      </c>
      <c r="D13" s="200">
        <v>0</v>
      </c>
      <c r="E13" s="200">
        <f>247.648-60.104</f>
        <v>187.54399999999998</v>
      </c>
      <c r="F13" s="201">
        <f>4796.031-215.136-301.514+140+350</f>
        <v>4769.380999999999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199" t="s">
        <v>39</v>
      </c>
      <c r="B14" s="196">
        <f t="shared" si="0"/>
        <v>0</v>
      </c>
      <c r="C14" s="200">
        <v>0</v>
      </c>
      <c r="D14" s="200">
        <v>0</v>
      </c>
      <c r="E14" s="200">
        <v>0</v>
      </c>
      <c r="F14" s="201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199" t="s">
        <v>9</v>
      </c>
      <c r="B15" s="196">
        <f t="shared" si="0"/>
        <v>12938.28</v>
      </c>
      <c r="C15" s="200">
        <v>33.895</v>
      </c>
      <c r="D15" s="200">
        <v>1.53</v>
      </c>
      <c r="E15" s="200">
        <f>715.167-404.963</f>
        <v>310.204</v>
      </c>
      <c r="F15" s="201">
        <f>237.404+11499.933+301.514+203.8+350</f>
        <v>12592.651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195" t="s">
        <v>43</v>
      </c>
      <c r="B16" s="196">
        <f t="shared" si="0"/>
        <v>3694.733</v>
      </c>
      <c r="C16" s="196">
        <f>C17+C19</f>
        <v>3694.733</v>
      </c>
      <c r="D16" s="196">
        <f>D17+D19</f>
        <v>0</v>
      </c>
      <c r="E16" s="196">
        <f>E17+E19</f>
        <v>0</v>
      </c>
      <c r="F16" s="197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199" t="s">
        <v>10</v>
      </c>
      <c r="B17" s="202">
        <f t="shared" si="0"/>
        <v>3694.733</v>
      </c>
      <c r="C17" s="202">
        <f>0+3694.733</f>
        <v>3694.733</v>
      </c>
      <c r="D17" s="200"/>
      <c r="E17" s="200"/>
      <c r="F17" s="201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198" t="s">
        <v>44</v>
      </c>
      <c r="B18" s="203">
        <f t="shared" si="0"/>
        <v>6.956</v>
      </c>
      <c r="C18" s="202">
        <f>0+6.956</f>
        <v>6.956</v>
      </c>
      <c r="D18" s="204"/>
      <c r="E18" s="204"/>
      <c r="F18" s="205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199" t="s">
        <v>7</v>
      </c>
      <c r="B19" s="196">
        <f t="shared" si="0"/>
        <v>0</v>
      </c>
      <c r="C19" s="196">
        <f>C20+C21+C22</f>
        <v>0</v>
      </c>
      <c r="D19" s="196">
        <f>D20+D21+D22</f>
        <v>0</v>
      </c>
      <c r="E19" s="196">
        <f>E20+E21+E22</f>
        <v>0</v>
      </c>
      <c r="F19" s="197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199" t="s">
        <v>8</v>
      </c>
      <c r="B20" s="196">
        <f t="shared" si="0"/>
        <v>0</v>
      </c>
      <c r="C20" s="206"/>
      <c r="D20" s="206"/>
      <c r="E20" s="206"/>
      <c r="F20" s="207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199" t="s">
        <v>39</v>
      </c>
      <c r="B21" s="196">
        <f>C21+D21+E21+F21</f>
        <v>0</v>
      </c>
      <c r="C21" s="200">
        <v>0</v>
      </c>
      <c r="D21" s="200">
        <v>0</v>
      </c>
      <c r="E21" s="200">
        <v>0</v>
      </c>
      <c r="F21" s="201">
        <v>0</v>
      </c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199" t="s">
        <v>9</v>
      </c>
      <c r="B22" s="196">
        <f t="shared" si="0"/>
        <v>0</v>
      </c>
      <c r="C22" s="200"/>
      <c r="D22" s="200"/>
      <c r="E22" s="200"/>
      <c r="F22" s="201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195" t="s">
        <v>19</v>
      </c>
      <c r="B23" s="196">
        <f t="shared" si="0"/>
        <v>6156.5509999999995</v>
      </c>
      <c r="C23" s="196">
        <f>C24+C27</f>
        <v>880.345</v>
      </c>
      <c r="D23" s="196">
        <f>D24+D25+D27</f>
        <v>0</v>
      </c>
      <c r="E23" s="196">
        <f>E24+E25+E27</f>
        <v>2229.738</v>
      </c>
      <c r="F23" s="197">
        <f>F24+F25+F27</f>
        <v>3046.468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199" t="s">
        <v>10</v>
      </c>
      <c r="B24" s="196">
        <f t="shared" si="0"/>
        <v>3935.782</v>
      </c>
      <c r="C24" s="196">
        <v>802.625</v>
      </c>
      <c r="D24" s="196">
        <v>0</v>
      </c>
      <c r="E24" s="196">
        <f>1991.733-E25</f>
        <v>1982.233</v>
      </c>
      <c r="F24" s="197">
        <f>1163.924-F25</f>
        <v>1150.924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198" t="s">
        <v>75</v>
      </c>
      <c r="B25" s="196">
        <f t="shared" si="0"/>
        <v>22.5</v>
      </c>
      <c r="C25" s="196"/>
      <c r="D25" s="196"/>
      <c r="E25" s="200">
        <v>9.5</v>
      </c>
      <c r="F25" s="201">
        <v>13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198" t="s">
        <v>26</v>
      </c>
      <c r="B26" s="196">
        <f t="shared" si="0"/>
        <v>0.035</v>
      </c>
      <c r="C26" s="196"/>
      <c r="D26" s="196"/>
      <c r="E26" s="200">
        <v>0.017</v>
      </c>
      <c r="F26" s="201">
        <v>0.018</v>
      </c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199" t="s">
        <v>7</v>
      </c>
      <c r="B27" s="196">
        <f t="shared" si="0"/>
        <v>2198.269</v>
      </c>
      <c r="C27" s="196">
        <f>C28+C29+C30</f>
        <v>77.72</v>
      </c>
      <c r="D27" s="196">
        <f>D28+D29+D30</f>
        <v>0</v>
      </c>
      <c r="E27" s="196">
        <f>E28+E29+E30</f>
        <v>238.005</v>
      </c>
      <c r="F27" s="197">
        <f>F28+F29+F30</f>
        <v>1882.5439999999999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199" t="s">
        <v>8</v>
      </c>
      <c r="B28" s="196">
        <f t="shared" si="0"/>
        <v>1370.337</v>
      </c>
      <c r="C28" s="200"/>
      <c r="D28" s="200"/>
      <c r="E28" s="200">
        <v>95.785</v>
      </c>
      <c r="F28" s="201">
        <v>1274.552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199" t="s">
        <v>39</v>
      </c>
      <c r="B29" s="196">
        <f t="shared" si="0"/>
        <v>0</v>
      </c>
      <c r="C29" s="200">
        <v>0</v>
      </c>
      <c r="D29" s="200">
        <v>0</v>
      </c>
      <c r="E29" s="200">
        <v>0</v>
      </c>
      <c r="F29" s="201">
        <v>0</v>
      </c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199" t="s">
        <v>9</v>
      </c>
      <c r="B30" s="196">
        <f t="shared" si="0"/>
        <v>827.932</v>
      </c>
      <c r="C30" s="200">
        <f>108.615-30.895</f>
        <v>77.72</v>
      </c>
      <c r="D30" s="200">
        <v>0</v>
      </c>
      <c r="E30" s="200">
        <f>242.22-100</f>
        <v>142.22</v>
      </c>
      <c r="F30" s="201">
        <v>607.992</v>
      </c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195" t="s">
        <v>55</v>
      </c>
      <c r="B31" s="196">
        <f t="shared" si="0"/>
        <v>1479.9389999999999</v>
      </c>
      <c r="C31" s="196">
        <f>C32+C33+C35</f>
        <v>1479.9389999999999</v>
      </c>
      <c r="D31" s="196"/>
      <c r="E31" s="196"/>
      <c r="F31" s="197"/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199" t="s">
        <v>10</v>
      </c>
      <c r="B32" s="196">
        <f t="shared" si="0"/>
        <v>1466.908</v>
      </c>
      <c r="C32" s="196">
        <f>1479.408-C33</f>
        <v>1466.908</v>
      </c>
      <c r="D32" s="196"/>
      <c r="E32" s="196"/>
      <c r="F32" s="197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198" t="s">
        <v>94</v>
      </c>
      <c r="B33" s="196">
        <f t="shared" si="0"/>
        <v>12.5</v>
      </c>
      <c r="C33" s="196">
        <v>12.5</v>
      </c>
      <c r="D33" s="196"/>
      <c r="E33" s="200"/>
      <c r="F33" s="201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198" t="s">
        <v>26</v>
      </c>
      <c r="B34" s="196">
        <f t="shared" si="0"/>
        <v>0.025</v>
      </c>
      <c r="C34" s="196">
        <v>0.025</v>
      </c>
      <c r="D34" s="196"/>
      <c r="E34" s="200"/>
      <c r="F34" s="201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199" t="s">
        <v>7</v>
      </c>
      <c r="B35" s="196">
        <f t="shared" si="0"/>
        <v>0.5310000000000001</v>
      </c>
      <c r="C35" s="196">
        <f>C36+C37+C38</f>
        <v>0.5310000000000001</v>
      </c>
      <c r="D35" s="196">
        <f>D36+D37+D38</f>
        <v>0</v>
      </c>
      <c r="E35" s="196">
        <f>E36+E37+E38</f>
        <v>0</v>
      </c>
      <c r="F35" s="197">
        <f>F36+F37+F38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199" t="s">
        <v>8</v>
      </c>
      <c r="B36" s="196">
        <f t="shared" si="0"/>
        <v>0.5310000000000001</v>
      </c>
      <c r="C36" s="200">
        <f>2.843-2.312</f>
        <v>0.5310000000000001</v>
      </c>
      <c r="D36" s="200"/>
      <c r="E36" s="200"/>
      <c r="F36" s="201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199" t="s">
        <v>39</v>
      </c>
      <c r="B37" s="196">
        <f>C37+D37+E37+F37</f>
        <v>0</v>
      </c>
      <c r="C37" s="200">
        <v>0</v>
      </c>
      <c r="D37" s="200">
        <v>0</v>
      </c>
      <c r="E37" s="200">
        <v>0</v>
      </c>
      <c r="F37" s="201">
        <v>0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199" t="s">
        <v>9</v>
      </c>
      <c r="B38" s="196">
        <f t="shared" si="0"/>
        <v>0</v>
      </c>
      <c r="C38" s="200"/>
      <c r="D38" s="200"/>
      <c r="E38" s="200"/>
      <c r="F38" s="201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195" t="s">
        <v>61</v>
      </c>
      <c r="B39" s="196">
        <f t="shared" si="0"/>
        <v>548.543</v>
      </c>
      <c r="C39" s="196">
        <f>C40+C41+C43</f>
        <v>0</v>
      </c>
      <c r="D39" s="196">
        <f>D40+D41+D43</f>
        <v>457.874</v>
      </c>
      <c r="E39" s="196">
        <f>E40+E41+E43</f>
        <v>48.868</v>
      </c>
      <c r="F39" s="197">
        <f>F40+F41+F43</f>
        <v>41.800999999999995</v>
      </c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199" t="s">
        <v>10</v>
      </c>
      <c r="B40" s="196">
        <f t="shared" si="0"/>
        <v>527.292</v>
      </c>
      <c r="C40" s="196"/>
      <c r="D40" s="196">
        <v>457.874</v>
      </c>
      <c r="E40" s="196">
        <f>32.076-E45</f>
        <v>32.076</v>
      </c>
      <c r="F40" s="197">
        <f>37.342-F45</f>
        <v>37.342</v>
      </c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198" t="s">
        <v>77</v>
      </c>
      <c r="B41" s="196">
        <f>C41+D41+E41+F41</f>
        <v>3.9</v>
      </c>
      <c r="C41" s="196"/>
      <c r="D41" s="196"/>
      <c r="E41" s="200"/>
      <c r="F41" s="201">
        <v>3.9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198" t="s">
        <v>26</v>
      </c>
      <c r="B42" s="196">
        <f>C42+D42+E42+F42</f>
        <v>0.006</v>
      </c>
      <c r="C42" s="196"/>
      <c r="D42" s="196"/>
      <c r="E42" s="200"/>
      <c r="F42" s="201">
        <v>0.006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199" t="s">
        <v>7</v>
      </c>
      <c r="B43" s="196">
        <f t="shared" si="0"/>
        <v>17.351000000000003</v>
      </c>
      <c r="C43" s="196">
        <f>C44+C45+C46</f>
        <v>0</v>
      </c>
      <c r="D43" s="196">
        <f>D44+D45+D46</f>
        <v>0</v>
      </c>
      <c r="E43" s="196">
        <f>E44</f>
        <v>16.792</v>
      </c>
      <c r="F43" s="197">
        <f>F44</f>
        <v>0.559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199" t="s">
        <v>8</v>
      </c>
      <c r="B44" s="196">
        <f t="shared" si="0"/>
        <v>17.351000000000003</v>
      </c>
      <c r="C44" s="196"/>
      <c r="D44" s="196"/>
      <c r="E44" s="200">
        <v>16.792</v>
      </c>
      <c r="F44" s="201">
        <v>0.559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199" t="s">
        <v>39</v>
      </c>
      <c r="B45" s="196">
        <f>C45+D45+E45+F45</f>
        <v>0</v>
      </c>
      <c r="C45" s="200"/>
      <c r="D45" s="200"/>
      <c r="E45" s="200"/>
      <c r="F45" s="201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199" t="s">
        <v>9</v>
      </c>
      <c r="B46" s="196">
        <f>C46+D46+E46+F46</f>
        <v>0</v>
      </c>
      <c r="C46" s="200"/>
      <c r="D46" s="200"/>
      <c r="E46" s="200"/>
      <c r="F46" s="20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195" t="s">
        <v>47</v>
      </c>
      <c r="B47" s="196">
        <f t="shared" si="0"/>
        <v>13006.128</v>
      </c>
      <c r="C47" s="196">
        <f>C48+C49+C51</f>
        <v>6918.025</v>
      </c>
      <c r="D47" s="196">
        <f>D48+D49+D51</f>
        <v>0</v>
      </c>
      <c r="E47" s="196">
        <f>E48+E49+E51</f>
        <v>2354.688</v>
      </c>
      <c r="F47" s="197">
        <f>F48+F49+F51</f>
        <v>3733.415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198" t="s">
        <v>21</v>
      </c>
      <c r="B48" s="196">
        <f t="shared" si="0"/>
        <v>4941.2519999999995</v>
      </c>
      <c r="C48" s="196">
        <f>6918.025-C49</f>
        <v>1492.0479999999998</v>
      </c>
      <c r="D48" s="196"/>
      <c r="E48" s="196">
        <f>2273-E49</f>
        <v>2263.2</v>
      </c>
      <c r="F48" s="197">
        <f>1189.604-F49</f>
        <v>1186.0040000000001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228" t="s">
        <v>78</v>
      </c>
      <c r="B49" s="196">
        <f t="shared" si="0"/>
        <v>5439.377</v>
      </c>
      <c r="C49" s="196">
        <v>5425.977</v>
      </c>
      <c r="D49" s="196"/>
      <c r="E49" s="196">
        <v>9.8</v>
      </c>
      <c r="F49" s="197">
        <v>3.6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198" t="s">
        <v>26</v>
      </c>
      <c r="B50" s="203">
        <f t="shared" si="0"/>
        <v>7.508999999999999</v>
      </c>
      <c r="C50" s="203">
        <f>0.233+7.254</f>
        <v>7.486999999999999</v>
      </c>
      <c r="D50" s="225"/>
      <c r="E50" s="203">
        <v>0.015</v>
      </c>
      <c r="F50" s="210">
        <v>0.007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199" t="s">
        <v>7</v>
      </c>
      <c r="B51" s="196">
        <f t="shared" si="0"/>
        <v>2625.499</v>
      </c>
      <c r="C51" s="196">
        <f>C52+C53+C54</f>
        <v>0</v>
      </c>
      <c r="D51" s="196">
        <f>D52+D53+D54</f>
        <v>0</v>
      </c>
      <c r="E51" s="196">
        <f>E52+E53+E54</f>
        <v>81.688</v>
      </c>
      <c r="F51" s="197">
        <f>F52+F53+F54</f>
        <v>2543.8109999999997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199" t="s">
        <v>8</v>
      </c>
      <c r="B52" s="196">
        <f t="shared" si="0"/>
        <v>2425.551</v>
      </c>
      <c r="C52" s="200"/>
      <c r="D52" s="200"/>
      <c r="E52" s="200">
        <v>81.688</v>
      </c>
      <c r="F52" s="201">
        <v>2343.863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199" t="s">
        <v>39</v>
      </c>
      <c r="B53" s="196">
        <f t="shared" si="0"/>
        <v>171.497</v>
      </c>
      <c r="C53" s="200"/>
      <c r="D53" s="200"/>
      <c r="E53" s="200"/>
      <c r="F53" s="201">
        <f>96.523+79.096-4.122</f>
        <v>171.497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199" t="s">
        <v>9</v>
      </c>
      <c r="B54" s="196">
        <f t="shared" si="0"/>
        <v>28.451</v>
      </c>
      <c r="C54" s="200"/>
      <c r="D54" s="200"/>
      <c r="E54" s="200"/>
      <c r="F54" s="201">
        <v>28.451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195" t="s">
        <v>60</v>
      </c>
      <c r="B55" s="196">
        <f t="shared" si="0"/>
        <v>98.352</v>
      </c>
      <c r="C55" s="196"/>
      <c r="D55" s="196"/>
      <c r="E55" s="196">
        <f>E56+E57</f>
        <v>50.226</v>
      </c>
      <c r="F55" s="197">
        <f>F56+F57</f>
        <v>48.126000000000005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199" t="s">
        <v>10</v>
      </c>
      <c r="B56" s="196">
        <f t="shared" si="0"/>
        <v>71.971</v>
      </c>
      <c r="C56" s="196"/>
      <c r="D56" s="196"/>
      <c r="E56" s="196">
        <v>50.226</v>
      </c>
      <c r="F56" s="197">
        <v>21.745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199" t="s">
        <v>7</v>
      </c>
      <c r="B57" s="196">
        <f t="shared" si="0"/>
        <v>26.381</v>
      </c>
      <c r="C57" s="196">
        <f>C58+C59+C60</f>
        <v>0</v>
      </c>
      <c r="D57" s="196">
        <f>D58+D59+D60</f>
        <v>0</v>
      </c>
      <c r="E57" s="196">
        <f>E58+E59+E60</f>
        <v>0</v>
      </c>
      <c r="F57" s="197">
        <f>F58+F59+F60</f>
        <v>26.381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199" t="s">
        <v>8</v>
      </c>
      <c r="B58" s="196">
        <f t="shared" si="0"/>
        <v>23.813</v>
      </c>
      <c r="C58" s="200"/>
      <c r="D58" s="200"/>
      <c r="E58" s="200"/>
      <c r="F58" s="201">
        <v>23.813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199" t="s">
        <v>39</v>
      </c>
      <c r="B59" s="196">
        <f>C59+D59+E59+F59</f>
        <v>0</v>
      </c>
      <c r="C59" s="200">
        <v>0</v>
      </c>
      <c r="D59" s="200">
        <v>0</v>
      </c>
      <c r="E59" s="200">
        <v>0</v>
      </c>
      <c r="F59" s="201"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199" t="s">
        <v>9</v>
      </c>
      <c r="B60" s="196">
        <f t="shared" si="0"/>
        <v>2.568</v>
      </c>
      <c r="C60" s="200"/>
      <c r="D60" s="200"/>
      <c r="E60" s="200"/>
      <c r="F60" s="201">
        <v>2.568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195" t="s">
        <v>59</v>
      </c>
      <c r="B61" s="196">
        <f t="shared" si="0"/>
        <v>13.544</v>
      </c>
      <c r="C61" s="196">
        <f>C62+C63</f>
        <v>0</v>
      </c>
      <c r="D61" s="196"/>
      <c r="E61" s="196">
        <f>E62+E63</f>
        <v>0</v>
      </c>
      <c r="F61" s="197">
        <f>F62+F63</f>
        <v>13.544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199" t="s">
        <v>10</v>
      </c>
      <c r="B62" s="196">
        <f t="shared" si="0"/>
        <v>13.544</v>
      </c>
      <c r="C62" s="196"/>
      <c r="D62" s="196"/>
      <c r="E62" s="196"/>
      <c r="F62" s="197">
        <v>13.544</v>
      </c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199" t="s">
        <v>7</v>
      </c>
      <c r="B63" s="196">
        <f t="shared" si="0"/>
        <v>0</v>
      </c>
      <c r="C63" s="196">
        <f>C64+C65+C66</f>
        <v>0</v>
      </c>
      <c r="D63" s="196">
        <f>D64+D65+D66</f>
        <v>0</v>
      </c>
      <c r="E63" s="196">
        <f>E64+E65+E66</f>
        <v>0</v>
      </c>
      <c r="F63" s="197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199" t="s">
        <v>8</v>
      </c>
      <c r="B64" s="196">
        <f t="shared" si="0"/>
        <v>0</v>
      </c>
      <c r="C64" s="196"/>
      <c r="D64" s="196"/>
      <c r="E64" s="196"/>
      <c r="F64" s="20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199" t="s">
        <v>39</v>
      </c>
      <c r="B65" s="196">
        <f t="shared" si="0"/>
        <v>0</v>
      </c>
      <c r="C65" s="200">
        <v>0</v>
      </c>
      <c r="D65" s="200">
        <v>0</v>
      </c>
      <c r="E65" s="200">
        <v>0</v>
      </c>
      <c r="F65" s="201"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199" t="s">
        <v>9</v>
      </c>
      <c r="B66" s="196">
        <f t="shared" si="0"/>
        <v>0</v>
      </c>
      <c r="C66" s="196"/>
      <c r="D66" s="196"/>
      <c r="E66" s="196"/>
      <c r="F66" s="197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195" t="s">
        <v>48</v>
      </c>
      <c r="B67" s="196">
        <f t="shared" si="0"/>
        <v>2891.051</v>
      </c>
      <c r="C67" s="196">
        <f>C68+C69+C71</f>
        <v>2784.6369999999997</v>
      </c>
      <c r="D67" s="196"/>
      <c r="E67" s="196">
        <f>E68+E71</f>
        <v>106.414</v>
      </c>
      <c r="F67" s="197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199" t="s">
        <v>10</v>
      </c>
      <c r="B68" s="196">
        <f t="shared" si="0"/>
        <v>2659.8379999999997</v>
      </c>
      <c r="C68" s="196">
        <f>569.763+2214.874-C69</f>
        <v>2553.4239999999995</v>
      </c>
      <c r="D68" s="196"/>
      <c r="E68" s="196">
        <f>15+91.414</f>
        <v>106.414</v>
      </c>
      <c r="F68" s="197"/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28" t="s">
        <v>79</v>
      </c>
      <c r="B69" s="202">
        <f>C69+D69+E69+F69</f>
        <v>231.213</v>
      </c>
      <c r="C69" s="202">
        <v>231.213</v>
      </c>
      <c r="D69" s="230"/>
      <c r="E69" s="230"/>
      <c r="F69" s="19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198" t="s">
        <v>31</v>
      </c>
      <c r="B70" s="203">
        <f>C70+D70+E70+F70</f>
        <v>0.369</v>
      </c>
      <c r="C70" s="202">
        <v>0.369</v>
      </c>
      <c r="D70" s="230"/>
      <c r="E70" s="230"/>
      <c r="F70" s="197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199" t="s">
        <v>7</v>
      </c>
      <c r="B71" s="196">
        <f t="shared" si="0"/>
        <v>0</v>
      </c>
      <c r="C71" s="196">
        <f>C72+C73+C74</f>
        <v>0</v>
      </c>
      <c r="D71" s="196">
        <f>D72+D73+D74</f>
        <v>0</v>
      </c>
      <c r="E71" s="196">
        <f>E72+E73+E74</f>
        <v>0</v>
      </c>
      <c r="F71" s="197">
        <f>F72+F73+F74</f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199" t="s">
        <v>8</v>
      </c>
      <c r="B72" s="196">
        <f t="shared" si="0"/>
        <v>0</v>
      </c>
      <c r="C72" s="196"/>
      <c r="D72" s="196"/>
      <c r="E72" s="196"/>
      <c r="F72" s="20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199" t="s">
        <v>39</v>
      </c>
      <c r="B73" s="196">
        <f t="shared" si="0"/>
        <v>0</v>
      </c>
      <c r="C73" s="200">
        <v>0</v>
      </c>
      <c r="D73" s="200">
        <v>0</v>
      </c>
      <c r="E73" s="200">
        <v>0</v>
      </c>
      <c r="F73" s="201">
        <v>0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199" t="s">
        <v>9</v>
      </c>
      <c r="B74" s="196">
        <f t="shared" si="0"/>
        <v>0</v>
      </c>
      <c r="C74" s="196"/>
      <c r="D74" s="196"/>
      <c r="E74" s="196"/>
      <c r="F74" s="20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231" t="s">
        <v>16</v>
      </c>
      <c r="B75" s="196">
        <f t="shared" si="0"/>
        <v>613.477</v>
      </c>
      <c r="C75" s="200"/>
      <c r="D75" s="196"/>
      <c r="E75" s="196">
        <f>E76+E77+E79</f>
        <v>378.164</v>
      </c>
      <c r="F75" s="197">
        <f>F76+F77+F79</f>
        <v>235.313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199" t="s">
        <v>10</v>
      </c>
      <c r="B76" s="196">
        <f t="shared" si="0"/>
        <v>548.477</v>
      </c>
      <c r="C76" s="196"/>
      <c r="D76" s="196"/>
      <c r="E76" s="196">
        <v>378.164</v>
      </c>
      <c r="F76" s="197">
        <f>170.313-F80</f>
        <v>170.313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198" t="s">
        <v>80</v>
      </c>
      <c r="B77" s="196">
        <f>C77+D77+E77+F77</f>
        <v>65</v>
      </c>
      <c r="C77" s="196"/>
      <c r="D77" s="196"/>
      <c r="E77" s="200"/>
      <c r="F77" s="197">
        <v>65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198" t="s">
        <v>26</v>
      </c>
      <c r="B78" s="196">
        <f>C78+D78+E78+F78</f>
        <v>0.095</v>
      </c>
      <c r="C78" s="196"/>
      <c r="D78" s="196"/>
      <c r="E78" s="200"/>
      <c r="F78" s="201">
        <v>0.095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199" t="s">
        <v>7</v>
      </c>
      <c r="B79" s="196">
        <f>C79+D79+E79+F79</f>
        <v>0</v>
      </c>
      <c r="C79" s="196">
        <f>C80+C81+C82</f>
        <v>0</v>
      </c>
      <c r="D79" s="196">
        <f>D80+D81+D82</f>
        <v>0</v>
      </c>
      <c r="E79" s="196">
        <f>E80+E81+E82</f>
        <v>0</v>
      </c>
      <c r="F79" s="197">
        <f>F80+F81+F82</f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199" t="s">
        <v>8</v>
      </c>
      <c r="B80" s="196">
        <f>C80+D80+E80+F80</f>
        <v>0</v>
      </c>
      <c r="C80" s="200"/>
      <c r="D80" s="196"/>
      <c r="E80" s="196"/>
      <c r="F80" s="197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199" t="s">
        <v>39</v>
      </c>
      <c r="B81" s="196">
        <f>C81+D81+E81+F81</f>
        <v>0</v>
      </c>
      <c r="C81" s="200">
        <v>0</v>
      </c>
      <c r="D81" s="200">
        <v>0</v>
      </c>
      <c r="E81" s="200">
        <v>0</v>
      </c>
      <c r="F81" s="201"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199" t="s">
        <v>9</v>
      </c>
      <c r="B82" s="196">
        <f t="shared" si="0"/>
        <v>0</v>
      </c>
      <c r="C82" s="200"/>
      <c r="D82" s="196"/>
      <c r="E82" s="200"/>
      <c r="F82" s="201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31" t="s">
        <v>4</v>
      </c>
      <c r="B83" s="196">
        <f t="shared" si="0"/>
        <v>446.39599999999996</v>
      </c>
      <c r="C83" s="196">
        <f>C84+C85</f>
        <v>446.39599999999996</v>
      </c>
      <c r="D83" s="196"/>
      <c r="E83" s="196"/>
      <c r="F83" s="197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198" t="s">
        <v>21</v>
      </c>
      <c r="B84" s="196">
        <f t="shared" si="0"/>
        <v>446.39599999999996</v>
      </c>
      <c r="C84" s="196">
        <v>446.39599999999996</v>
      </c>
      <c r="D84" s="196"/>
      <c r="E84" s="196">
        <f>E83-E85</f>
        <v>0</v>
      </c>
      <c r="F84" s="197">
        <f>F83-F85</f>
        <v>0</v>
      </c>
      <c r="G84" s="120"/>
      <c r="H84" s="120"/>
    </row>
    <row r="85" spans="1:8" s="30" customFormat="1" ht="32.25" customHeight="1">
      <c r="A85" s="199" t="s">
        <v>7</v>
      </c>
      <c r="B85" s="196">
        <f t="shared" si="0"/>
        <v>0</v>
      </c>
      <c r="C85" s="196">
        <f>C86+C87+C88</f>
        <v>0</v>
      </c>
      <c r="D85" s="196">
        <f>D86+D87+D88</f>
        <v>0</v>
      </c>
      <c r="E85" s="196">
        <f>E86+E87+E88</f>
        <v>0</v>
      </c>
      <c r="F85" s="197">
        <f>F86+F87+F88</f>
        <v>0</v>
      </c>
      <c r="G85" s="120"/>
      <c r="H85" s="120"/>
    </row>
    <row r="86" spans="1:18" s="3" customFormat="1" ht="32.25" customHeight="1">
      <c r="A86" s="199" t="s">
        <v>8</v>
      </c>
      <c r="B86" s="196">
        <f t="shared" si="0"/>
        <v>0</v>
      </c>
      <c r="C86" s="200"/>
      <c r="D86" s="196"/>
      <c r="E86" s="196"/>
      <c r="F86" s="197"/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199" t="s">
        <v>39</v>
      </c>
      <c r="B87" s="196">
        <f>C87+D87+E87+F87</f>
        <v>0</v>
      </c>
      <c r="C87" s="200">
        <v>0</v>
      </c>
      <c r="D87" s="200">
        <v>0</v>
      </c>
      <c r="E87" s="200">
        <v>0</v>
      </c>
      <c r="F87" s="201">
        <v>0</v>
      </c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199" t="s">
        <v>9</v>
      </c>
      <c r="B88" s="196">
        <f aca="true" t="shared" si="1" ref="B88:B166">C88+D88+E88+F88</f>
        <v>0</v>
      </c>
      <c r="C88" s="200"/>
      <c r="D88" s="196"/>
      <c r="E88" s="196"/>
      <c r="F88" s="197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195" t="s">
        <v>58</v>
      </c>
      <c r="B89" s="196">
        <f t="shared" si="1"/>
        <v>2069.4918</v>
      </c>
      <c r="C89" s="196">
        <f>C90+C91+C93</f>
        <v>1217.221</v>
      </c>
      <c r="D89" s="196">
        <f>D90+D93</f>
        <v>0</v>
      </c>
      <c r="E89" s="196">
        <f>E90+E93</f>
        <v>382.7438</v>
      </c>
      <c r="F89" s="197">
        <f>F90+F93</f>
        <v>469.52700000000004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199" t="s">
        <v>10</v>
      </c>
      <c r="B90" s="196">
        <f t="shared" si="1"/>
        <v>743.5978000000001</v>
      </c>
      <c r="C90" s="196">
        <f>1217.221-C91</f>
        <v>217.18500000000006</v>
      </c>
      <c r="D90" s="196">
        <v>0</v>
      </c>
      <c r="E90" s="196">
        <f>393.146-10.4022</f>
        <v>382.7438</v>
      </c>
      <c r="F90" s="197">
        <v>143.669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198" t="s">
        <v>81</v>
      </c>
      <c r="B91" s="196">
        <f>C91+D91+E91+F91</f>
        <v>1000.036</v>
      </c>
      <c r="C91" s="269">
        <v>1000.036</v>
      </c>
      <c r="D91" s="196"/>
      <c r="E91" s="196"/>
      <c r="F91" s="19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198" t="s">
        <v>26</v>
      </c>
      <c r="B92" s="203">
        <f>C92+D92+E92+F92</f>
        <v>1.543</v>
      </c>
      <c r="C92" s="196">
        <v>1.543</v>
      </c>
      <c r="D92" s="225"/>
      <c r="E92" s="225"/>
      <c r="F92" s="210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199" t="s">
        <v>7</v>
      </c>
      <c r="B93" s="196">
        <f t="shared" si="1"/>
        <v>325.858</v>
      </c>
      <c r="C93" s="196">
        <f>C94+C95+C96</f>
        <v>0</v>
      </c>
      <c r="D93" s="196">
        <f>D94+D95+D96</f>
        <v>0</v>
      </c>
      <c r="E93" s="196">
        <f>E94+E95+E96</f>
        <v>0</v>
      </c>
      <c r="F93" s="197">
        <f>F94+F95+F96</f>
        <v>325.858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199" t="s">
        <v>8</v>
      </c>
      <c r="B94" s="196">
        <f t="shared" si="1"/>
        <v>285.367</v>
      </c>
      <c r="C94" s="200"/>
      <c r="D94" s="196"/>
      <c r="E94" s="196"/>
      <c r="F94" s="197">
        <v>285.367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199" t="s">
        <v>39</v>
      </c>
      <c r="B95" s="196">
        <f t="shared" si="1"/>
        <v>0</v>
      </c>
      <c r="C95" s="200">
        <v>0</v>
      </c>
      <c r="D95" s="200">
        <v>0</v>
      </c>
      <c r="E95" s="200">
        <v>0</v>
      </c>
      <c r="F95" s="201">
        <v>0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199" t="s">
        <v>9</v>
      </c>
      <c r="B96" s="196">
        <f t="shared" si="1"/>
        <v>40.491</v>
      </c>
      <c r="C96" s="200"/>
      <c r="D96" s="196"/>
      <c r="E96" s="196"/>
      <c r="F96" s="197">
        <v>40.491</v>
      </c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195" t="s">
        <v>15</v>
      </c>
      <c r="B97" s="196">
        <f t="shared" si="1"/>
        <v>2389.134</v>
      </c>
      <c r="C97" s="196">
        <f>C98+C99</f>
        <v>2375.809</v>
      </c>
      <c r="D97" s="196"/>
      <c r="E97" s="196">
        <f>E98+E99</f>
        <v>0</v>
      </c>
      <c r="F97" s="197">
        <f>F98+F99</f>
        <v>13.325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199" t="s">
        <v>10</v>
      </c>
      <c r="B98" s="196">
        <f t="shared" si="1"/>
        <v>929.0320000000002</v>
      </c>
      <c r="C98" s="209">
        <f>2375.809-C99</f>
        <v>915.7070000000001</v>
      </c>
      <c r="D98" s="209"/>
      <c r="E98" s="209"/>
      <c r="F98" s="210">
        <v>13.325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198" t="s">
        <v>38</v>
      </c>
      <c r="B99" s="196">
        <f t="shared" si="1"/>
        <v>1460.102</v>
      </c>
      <c r="C99" s="269">
        <v>1460.102</v>
      </c>
      <c r="D99" s="196"/>
      <c r="E99" s="196">
        <f>E101+E100</f>
        <v>0</v>
      </c>
      <c r="F99" s="197">
        <f>F101+F100</f>
        <v>0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198" t="s">
        <v>26</v>
      </c>
      <c r="B100" s="196">
        <f t="shared" si="1"/>
        <v>2.431</v>
      </c>
      <c r="C100" s="196">
        <v>2.431</v>
      </c>
      <c r="D100" s="196"/>
      <c r="E100" s="200"/>
      <c r="F100" s="201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199" t="s">
        <v>7</v>
      </c>
      <c r="B101" s="196">
        <f t="shared" si="1"/>
        <v>0</v>
      </c>
      <c r="C101" s="196">
        <f>C102+C103+C104</f>
        <v>0</v>
      </c>
      <c r="D101" s="196">
        <f>D102+D103+D104</f>
        <v>0</v>
      </c>
      <c r="E101" s="196">
        <f>E102+E103+E104</f>
        <v>0</v>
      </c>
      <c r="F101" s="197">
        <f>F102+F103+F104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199" t="s">
        <v>8</v>
      </c>
      <c r="B102" s="196">
        <f t="shared" si="1"/>
        <v>0</v>
      </c>
      <c r="C102" s="200"/>
      <c r="D102" s="196"/>
      <c r="E102" s="196"/>
      <c r="F102" s="197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199" t="s">
        <v>39</v>
      </c>
      <c r="B103" s="196">
        <f>C103+D103+E103+F103</f>
        <v>0</v>
      </c>
      <c r="C103" s="200">
        <v>0</v>
      </c>
      <c r="D103" s="200">
        <v>0</v>
      </c>
      <c r="E103" s="200">
        <v>0</v>
      </c>
      <c r="F103" s="201"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199" t="s">
        <v>9</v>
      </c>
      <c r="B104" s="196">
        <f t="shared" si="1"/>
        <v>0</v>
      </c>
      <c r="C104" s="200"/>
      <c r="D104" s="196"/>
      <c r="E104" s="196"/>
      <c r="F104" s="19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195" t="s">
        <v>57</v>
      </c>
      <c r="B105" s="196">
        <f t="shared" si="1"/>
        <v>30.248</v>
      </c>
      <c r="C105" s="196">
        <f>C106+C107</f>
        <v>0</v>
      </c>
      <c r="D105" s="196"/>
      <c r="E105" s="196">
        <f>E106+E107</f>
        <v>30.248</v>
      </c>
      <c r="F105" s="197">
        <f>F106+F107</f>
        <v>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199" t="s">
        <v>10</v>
      </c>
      <c r="B106" s="196">
        <f t="shared" si="1"/>
        <v>30.248</v>
      </c>
      <c r="C106" s="209"/>
      <c r="D106" s="209"/>
      <c r="E106" s="209">
        <v>30.248</v>
      </c>
      <c r="F106" s="2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199" t="s">
        <v>7</v>
      </c>
      <c r="B107" s="196">
        <f t="shared" si="1"/>
        <v>0</v>
      </c>
      <c r="C107" s="196">
        <f>C108+C109+C110</f>
        <v>0</v>
      </c>
      <c r="D107" s="196">
        <f>D108+D109+D110</f>
        <v>0</v>
      </c>
      <c r="E107" s="196">
        <f>E108+E109+E110</f>
        <v>0</v>
      </c>
      <c r="F107" s="197">
        <f>F108+F109+F110</f>
        <v>0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199" t="s">
        <v>8</v>
      </c>
      <c r="B108" s="196">
        <f t="shared" si="1"/>
        <v>0</v>
      </c>
      <c r="C108" s="200"/>
      <c r="D108" s="196"/>
      <c r="E108" s="200"/>
      <c r="F108" s="201"/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199" t="s">
        <v>39</v>
      </c>
      <c r="B109" s="196">
        <f t="shared" si="1"/>
        <v>0</v>
      </c>
      <c r="C109" s="200">
        <v>0</v>
      </c>
      <c r="D109" s="200">
        <v>0</v>
      </c>
      <c r="E109" s="200">
        <v>0</v>
      </c>
      <c r="F109" s="201">
        <v>0</v>
      </c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199" t="s">
        <v>9</v>
      </c>
      <c r="B110" s="196">
        <f t="shared" si="1"/>
        <v>0</v>
      </c>
      <c r="C110" s="200"/>
      <c r="D110" s="196"/>
      <c r="E110" s="200"/>
      <c r="F110" s="201"/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195" t="s">
        <v>14</v>
      </c>
      <c r="B111" s="196">
        <f t="shared" si="1"/>
        <v>121.592</v>
      </c>
      <c r="C111" s="200"/>
      <c r="D111" s="196"/>
      <c r="E111" s="196">
        <f>E112+E113</f>
        <v>0</v>
      </c>
      <c r="F111" s="197">
        <f>F112+F113</f>
        <v>121.592</v>
      </c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199" t="s">
        <v>10</v>
      </c>
      <c r="B112" s="196">
        <f t="shared" si="1"/>
        <v>1.274</v>
      </c>
      <c r="C112" s="200"/>
      <c r="D112" s="196"/>
      <c r="E112" s="196"/>
      <c r="F112" s="210">
        <v>1.274</v>
      </c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199" t="s">
        <v>7</v>
      </c>
      <c r="B113" s="196">
        <f t="shared" si="1"/>
        <v>120.318</v>
      </c>
      <c r="C113" s="196">
        <f>C114+C115+C116</f>
        <v>0</v>
      </c>
      <c r="D113" s="196">
        <f>D114+D115+D116</f>
        <v>0</v>
      </c>
      <c r="E113" s="196">
        <f>E114+E115+E116</f>
        <v>0</v>
      </c>
      <c r="F113" s="197">
        <f>F114+F115+F116</f>
        <v>120.318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199" t="s">
        <v>8</v>
      </c>
      <c r="B114" s="196">
        <f t="shared" si="1"/>
        <v>120.318</v>
      </c>
      <c r="C114" s="200"/>
      <c r="D114" s="196"/>
      <c r="E114" s="200"/>
      <c r="F114" s="201">
        <v>120.318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199" t="s">
        <v>39</v>
      </c>
      <c r="B115" s="196">
        <f>C115+D115+E115+F115</f>
        <v>0</v>
      </c>
      <c r="C115" s="200">
        <v>0</v>
      </c>
      <c r="D115" s="200">
        <v>0</v>
      </c>
      <c r="E115" s="200">
        <v>0</v>
      </c>
      <c r="F115" s="201">
        <v>0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199" t="s">
        <v>9</v>
      </c>
      <c r="B116" s="196">
        <f t="shared" si="1"/>
        <v>0</v>
      </c>
      <c r="C116" s="200"/>
      <c r="D116" s="196"/>
      <c r="E116" s="200"/>
      <c r="F116" s="201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195" t="s">
        <v>18</v>
      </c>
      <c r="B117" s="196">
        <f t="shared" si="1"/>
        <v>282.332</v>
      </c>
      <c r="C117" s="196">
        <f>C118+C119+C121</f>
        <v>0</v>
      </c>
      <c r="D117" s="196">
        <f>D118+D119+D121</f>
        <v>0</v>
      </c>
      <c r="E117" s="196">
        <f>E118+E119+E121</f>
        <v>12.422</v>
      </c>
      <c r="F117" s="197">
        <f>F118+F119+F121</f>
        <v>269.90999999999997</v>
      </c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199" t="s">
        <v>10</v>
      </c>
      <c r="B118" s="196">
        <f t="shared" si="1"/>
        <v>74.05</v>
      </c>
      <c r="C118" s="200"/>
      <c r="D118" s="196"/>
      <c r="E118" s="209">
        <f>12.422</f>
        <v>12.422</v>
      </c>
      <c r="F118" s="210">
        <f>61.628</f>
        <v>61.628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198" t="s">
        <v>82</v>
      </c>
      <c r="B119" s="196">
        <f>C119+D119+E119+F119</f>
        <v>2.05</v>
      </c>
      <c r="C119" s="196"/>
      <c r="D119" s="196"/>
      <c r="E119" s="200"/>
      <c r="F119" s="201">
        <v>2.05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198" t="s">
        <v>26</v>
      </c>
      <c r="B120" s="196">
        <f>C120+D120+E120+F120</f>
        <v>0.003</v>
      </c>
      <c r="C120" s="196"/>
      <c r="D120" s="196"/>
      <c r="E120" s="200"/>
      <c r="F120" s="201">
        <v>0.003</v>
      </c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199" t="s">
        <v>7</v>
      </c>
      <c r="B121" s="196">
        <f>C121+D121+E121+F121</f>
        <v>206.232</v>
      </c>
      <c r="C121" s="196">
        <f>C122+C123+C124</f>
        <v>0</v>
      </c>
      <c r="D121" s="196">
        <f>D122+D123+D124</f>
        <v>0</v>
      </c>
      <c r="E121" s="196">
        <f>E122+E123+E124</f>
        <v>0</v>
      </c>
      <c r="F121" s="197">
        <f>F122+F123+F124</f>
        <v>206.232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199" t="s">
        <v>8</v>
      </c>
      <c r="B122" s="196">
        <f>C122+D122+E122+F122</f>
        <v>0</v>
      </c>
      <c r="C122" s="200"/>
      <c r="D122" s="196"/>
      <c r="E122" s="200"/>
      <c r="F122" s="201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199" t="s">
        <v>39</v>
      </c>
      <c r="B123" s="196">
        <f>C123+D123+E123+F123</f>
        <v>0</v>
      </c>
      <c r="C123" s="200">
        <v>0</v>
      </c>
      <c r="D123" s="200">
        <v>0</v>
      </c>
      <c r="E123" s="200">
        <v>0</v>
      </c>
      <c r="F123" s="201">
        <v>0</v>
      </c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199" t="s">
        <v>9</v>
      </c>
      <c r="B124" s="196">
        <f t="shared" si="1"/>
        <v>206.232</v>
      </c>
      <c r="C124" s="200"/>
      <c r="D124" s="196"/>
      <c r="E124" s="196"/>
      <c r="F124" s="201">
        <v>206.232</v>
      </c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195" t="s">
        <v>13</v>
      </c>
      <c r="B125" s="196">
        <f t="shared" si="1"/>
        <v>204.342</v>
      </c>
      <c r="C125" s="196">
        <f>C126+C127</f>
        <v>0</v>
      </c>
      <c r="D125" s="196"/>
      <c r="E125" s="196">
        <f>E126+E127</f>
        <v>204.342</v>
      </c>
      <c r="F125" s="197">
        <f>F126+F127</f>
        <v>0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199" t="s">
        <v>10</v>
      </c>
      <c r="B126" s="196">
        <f t="shared" si="1"/>
        <v>204.342</v>
      </c>
      <c r="C126" s="209"/>
      <c r="D126" s="209"/>
      <c r="E126" s="209">
        <v>204.342</v>
      </c>
      <c r="F126" s="210"/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199" t="s">
        <v>7</v>
      </c>
      <c r="B127" s="196">
        <f t="shared" si="1"/>
        <v>0</v>
      </c>
      <c r="C127" s="196">
        <f>C128+C129+C130</f>
        <v>0</v>
      </c>
      <c r="D127" s="196">
        <f>D128+D129+D130</f>
        <v>0</v>
      </c>
      <c r="E127" s="196">
        <f>E128+E129+E130</f>
        <v>0</v>
      </c>
      <c r="F127" s="197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199" t="s">
        <v>8</v>
      </c>
      <c r="B128" s="196">
        <f t="shared" si="1"/>
        <v>0</v>
      </c>
      <c r="C128" s="200"/>
      <c r="D128" s="196"/>
      <c r="E128" s="200"/>
      <c r="F128" s="201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199" t="s">
        <v>39</v>
      </c>
      <c r="B129" s="196">
        <f>C129+D129+E129+F129</f>
        <v>0</v>
      </c>
      <c r="C129" s="200">
        <v>0</v>
      </c>
      <c r="D129" s="200">
        <v>0</v>
      </c>
      <c r="E129" s="200">
        <v>0</v>
      </c>
      <c r="F129" s="201">
        <v>0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199" t="s">
        <v>9</v>
      </c>
      <c r="B130" s="196">
        <f t="shared" si="1"/>
        <v>0</v>
      </c>
      <c r="C130" s="200"/>
      <c r="D130" s="196"/>
      <c r="E130" s="200"/>
      <c r="F130" s="201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195" t="s">
        <v>62</v>
      </c>
      <c r="B131" s="196">
        <f t="shared" si="1"/>
        <v>10.4022</v>
      </c>
      <c r="C131" s="200"/>
      <c r="D131" s="196"/>
      <c r="E131" s="196">
        <f>E132+E133</f>
        <v>0</v>
      </c>
      <c r="F131" s="197">
        <f>F132+F133</f>
        <v>10.4022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199" t="s">
        <v>10</v>
      </c>
      <c r="B132" s="196">
        <f t="shared" si="1"/>
        <v>10.4022</v>
      </c>
      <c r="C132" s="200"/>
      <c r="D132" s="196"/>
      <c r="E132" s="196"/>
      <c r="F132" s="210">
        <v>10.4022</v>
      </c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199" t="s">
        <v>7</v>
      </c>
      <c r="B133" s="196">
        <f t="shared" si="1"/>
        <v>0</v>
      </c>
      <c r="C133" s="196">
        <f>C134+C135+C136</f>
        <v>0</v>
      </c>
      <c r="D133" s="196">
        <f>D134+D135+D136</f>
        <v>0</v>
      </c>
      <c r="E133" s="196">
        <f>E134+E135+E136</f>
        <v>0</v>
      </c>
      <c r="F133" s="197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199" t="s">
        <v>8</v>
      </c>
      <c r="B134" s="196">
        <f t="shared" si="1"/>
        <v>0</v>
      </c>
      <c r="C134" s="200"/>
      <c r="D134" s="196"/>
      <c r="E134" s="200"/>
      <c r="F134" s="201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199" t="s">
        <v>39</v>
      </c>
      <c r="B135" s="196">
        <f>C135+D135+E135+F135</f>
        <v>0</v>
      </c>
      <c r="C135" s="200">
        <v>0</v>
      </c>
      <c r="D135" s="200">
        <v>0</v>
      </c>
      <c r="E135" s="200">
        <v>0</v>
      </c>
      <c r="F135" s="201">
        <v>0</v>
      </c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199" t="s">
        <v>9</v>
      </c>
      <c r="B136" s="196">
        <f t="shared" si="1"/>
        <v>0</v>
      </c>
      <c r="C136" s="200"/>
      <c r="D136" s="196"/>
      <c r="E136" s="200"/>
      <c r="F136" s="201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195" t="s">
        <v>83</v>
      </c>
      <c r="B137" s="196">
        <f t="shared" si="1"/>
        <v>530</v>
      </c>
      <c r="C137" s="196">
        <f>C138+C139</f>
        <v>430</v>
      </c>
      <c r="D137" s="196">
        <f>D138+D139</f>
        <v>0</v>
      </c>
      <c r="E137" s="196">
        <f>E138+E139</f>
        <v>100</v>
      </c>
      <c r="F137" s="19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199" t="s">
        <v>10</v>
      </c>
      <c r="B138" s="196">
        <f t="shared" si="1"/>
        <v>530</v>
      </c>
      <c r="C138" s="200">
        <v>430</v>
      </c>
      <c r="D138" s="196"/>
      <c r="E138" s="196">
        <v>100</v>
      </c>
      <c r="F138" s="210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199" t="s">
        <v>7</v>
      </c>
      <c r="B139" s="196">
        <f t="shared" si="1"/>
        <v>0</v>
      </c>
      <c r="C139" s="196">
        <f>C140+C141+C142</f>
        <v>0</v>
      </c>
      <c r="D139" s="196">
        <f>D140+D141+D142</f>
        <v>0</v>
      </c>
      <c r="E139" s="196">
        <f>E140+E141+E142</f>
        <v>0</v>
      </c>
      <c r="F139" s="197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199" t="s">
        <v>8</v>
      </c>
      <c r="B140" s="196">
        <f t="shared" si="1"/>
        <v>0</v>
      </c>
      <c r="C140" s="200"/>
      <c r="D140" s="196"/>
      <c r="E140" s="196"/>
      <c r="F140" s="19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199" t="s">
        <v>39</v>
      </c>
      <c r="B141" s="196">
        <f t="shared" si="1"/>
        <v>0</v>
      </c>
      <c r="C141" s="200">
        <v>0</v>
      </c>
      <c r="D141" s="200">
        <v>0</v>
      </c>
      <c r="E141" s="200">
        <v>0</v>
      </c>
      <c r="F141" s="201">
        <v>0</v>
      </c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199" t="s">
        <v>9</v>
      </c>
      <c r="B142" s="196">
        <f t="shared" si="1"/>
        <v>0</v>
      </c>
      <c r="C142" s="200"/>
      <c r="D142" s="196"/>
      <c r="E142" s="196"/>
      <c r="F142" s="19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195" t="s">
        <v>56</v>
      </c>
      <c r="B143" s="196">
        <f t="shared" si="1"/>
        <v>279.66700000000003</v>
      </c>
      <c r="C143" s="196"/>
      <c r="D143" s="196"/>
      <c r="E143" s="196">
        <f>E144+E145</f>
        <v>279.66700000000003</v>
      </c>
      <c r="F143" s="197">
        <f>F144+F145</f>
        <v>0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199" t="s">
        <v>10</v>
      </c>
      <c r="B144" s="196">
        <f t="shared" si="1"/>
        <v>188.247</v>
      </c>
      <c r="C144" s="196"/>
      <c r="D144" s="196"/>
      <c r="E144" s="196">
        <v>188.247</v>
      </c>
      <c r="F144" s="197"/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199" t="s">
        <v>7</v>
      </c>
      <c r="B145" s="196">
        <f t="shared" si="1"/>
        <v>91.42</v>
      </c>
      <c r="C145" s="196">
        <f>C146+C147+C148</f>
        <v>0</v>
      </c>
      <c r="D145" s="196">
        <f>D146+D147+D148</f>
        <v>0</v>
      </c>
      <c r="E145" s="196">
        <f>E146+E147+E148</f>
        <v>91.42</v>
      </c>
      <c r="F145" s="197">
        <f>F146+F147+F148</f>
        <v>0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199" t="s">
        <v>8</v>
      </c>
      <c r="B146" s="196">
        <f t="shared" si="1"/>
        <v>91.42</v>
      </c>
      <c r="C146" s="196"/>
      <c r="D146" s="196"/>
      <c r="E146" s="200">
        <v>91.42</v>
      </c>
      <c r="F146" s="201"/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199" t="s">
        <v>39</v>
      </c>
      <c r="B147" s="196">
        <f t="shared" si="1"/>
        <v>0</v>
      </c>
      <c r="C147" s="200">
        <v>0</v>
      </c>
      <c r="D147" s="200">
        <v>0</v>
      </c>
      <c r="E147" s="200">
        <v>0</v>
      </c>
      <c r="F147" s="201">
        <v>0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199" t="s">
        <v>9</v>
      </c>
      <c r="B148" s="196">
        <f t="shared" si="1"/>
        <v>0</v>
      </c>
      <c r="C148" s="196"/>
      <c r="D148" s="196"/>
      <c r="E148" s="200"/>
      <c r="F148" s="201"/>
      <c r="G148" s="120"/>
      <c r="H148" s="120"/>
    </row>
    <row r="149" spans="1:8" s="30" customFormat="1" ht="32.25" customHeight="1">
      <c r="A149" s="195" t="s">
        <v>6</v>
      </c>
      <c r="B149" s="196">
        <f t="shared" si="1"/>
        <v>1504.6729999999998</v>
      </c>
      <c r="C149" s="196"/>
      <c r="D149" s="196"/>
      <c r="E149" s="196">
        <f>E150+E151</f>
        <v>643.8679999999999</v>
      </c>
      <c r="F149" s="197">
        <f>F150+F151</f>
        <v>860.8049999999998</v>
      </c>
      <c r="G149" s="120"/>
      <c r="H149" s="120"/>
    </row>
    <row r="150" spans="1:18" s="3" customFormat="1" ht="32.25" customHeight="1">
      <c r="A150" s="199" t="s">
        <v>10</v>
      </c>
      <c r="B150" s="196">
        <f t="shared" si="1"/>
        <v>616.202</v>
      </c>
      <c r="C150" s="196"/>
      <c r="D150" s="196"/>
      <c r="E150" s="196">
        <v>390.07</v>
      </c>
      <c r="F150" s="197">
        <v>226.132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199" t="s">
        <v>7</v>
      </c>
      <c r="B151" s="196">
        <f t="shared" si="1"/>
        <v>888.4709999999999</v>
      </c>
      <c r="C151" s="196">
        <f>C152+C153+C154</f>
        <v>0</v>
      </c>
      <c r="D151" s="196">
        <f>D152+D153+D154</f>
        <v>0</v>
      </c>
      <c r="E151" s="196">
        <f>E152+E153+E154</f>
        <v>253.798</v>
      </c>
      <c r="F151" s="197">
        <f>F152+F153+F154</f>
        <v>634.6729999999999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199" t="s">
        <v>8</v>
      </c>
      <c r="B152" s="196">
        <f t="shared" si="1"/>
        <v>699.0509999999999</v>
      </c>
      <c r="C152" s="196"/>
      <c r="D152" s="196"/>
      <c r="E152" s="200">
        <v>242.038</v>
      </c>
      <c r="F152" s="201">
        <v>457.013</v>
      </c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199" t="s">
        <v>39</v>
      </c>
      <c r="B153" s="196">
        <f t="shared" si="1"/>
        <v>77.74</v>
      </c>
      <c r="C153" s="196"/>
      <c r="D153" s="196"/>
      <c r="E153" s="200">
        <v>8.88</v>
      </c>
      <c r="F153" s="201">
        <v>68.86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199" t="s">
        <v>9</v>
      </c>
      <c r="B154" s="196">
        <f t="shared" si="1"/>
        <v>111.67999999999999</v>
      </c>
      <c r="C154" s="196"/>
      <c r="D154" s="196"/>
      <c r="E154" s="200">
        <v>2.88</v>
      </c>
      <c r="F154" s="201">
        <v>108.8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195" t="s">
        <v>5</v>
      </c>
      <c r="B155" s="196">
        <f t="shared" si="1"/>
        <v>3509.771</v>
      </c>
      <c r="C155" s="196">
        <f>C156+C157+C159</f>
        <v>375.061</v>
      </c>
      <c r="D155" s="196"/>
      <c r="E155" s="196">
        <f>E156+E157+E159</f>
        <v>1981.864</v>
      </c>
      <c r="F155" s="197">
        <f>F156+F157+F159</f>
        <v>1152.846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199" t="s">
        <v>10</v>
      </c>
      <c r="B156" s="196">
        <f t="shared" si="1"/>
        <v>1756.717</v>
      </c>
      <c r="C156" s="196"/>
      <c r="D156" s="196"/>
      <c r="E156" s="196">
        <v>1531.5</v>
      </c>
      <c r="F156" s="197">
        <v>225.217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198" t="s">
        <v>50</v>
      </c>
      <c r="B157" s="196">
        <f t="shared" si="1"/>
        <v>375.061</v>
      </c>
      <c r="C157" s="257">
        <v>375.061</v>
      </c>
      <c r="D157" s="196"/>
      <c r="E157" s="196"/>
      <c r="F157" s="19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198" t="s">
        <v>26</v>
      </c>
      <c r="B158" s="203">
        <f t="shared" si="1"/>
        <v>0.556</v>
      </c>
      <c r="C158" s="257">
        <v>0.556</v>
      </c>
      <c r="D158" s="225"/>
      <c r="E158" s="225"/>
      <c r="F158" s="210"/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199" t="s">
        <v>7</v>
      </c>
      <c r="B159" s="196">
        <f t="shared" si="1"/>
        <v>1377.993</v>
      </c>
      <c r="C159" s="196">
        <f>C160+C161+C162</f>
        <v>0</v>
      </c>
      <c r="D159" s="196">
        <f>D160+D161+D162</f>
        <v>0</v>
      </c>
      <c r="E159" s="196">
        <f>E160+E161+E162</f>
        <v>450.3639999999999</v>
      </c>
      <c r="F159" s="197">
        <f>F160+F161+F162</f>
        <v>927.6289999999999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199" t="s">
        <v>8</v>
      </c>
      <c r="B160" s="196">
        <f t="shared" si="1"/>
        <v>1049.327</v>
      </c>
      <c r="C160" s="196"/>
      <c r="D160" s="196"/>
      <c r="E160" s="200">
        <v>272.691</v>
      </c>
      <c r="F160" s="201">
        <v>776.636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199" t="s">
        <v>39</v>
      </c>
      <c r="B161" s="196">
        <f t="shared" si="1"/>
        <v>313.12199999999996</v>
      </c>
      <c r="C161" s="200"/>
      <c r="D161" s="200"/>
      <c r="E161" s="200">
        <v>162.129</v>
      </c>
      <c r="F161" s="201">
        <v>150.993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>
      <c r="A162" s="199" t="s">
        <v>9</v>
      </c>
      <c r="B162" s="196">
        <f t="shared" si="1"/>
        <v>15.544</v>
      </c>
      <c r="C162" s="200"/>
      <c r="D162" s="200"/>
      <c r="E162" s="200">
        <v>15.544</v>
      </c>
      <c r="F162" s="201">
        <v>0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>
      <c r="A163" s="195" t="s">
        <v>17</v>
      </c>
      <c r="B163" s="196">
        <f t="shared" si="1"/>
        <v>6321.201999999999</v>
      </c>
      <c r="C163" s="196"/>
      <c r="D163" s="196"/>
      <c r="E163" s="196">
        <f>E164+E165</f>
        <v>1445.4270000000001</v>
      </c>
      <c r="F163" s="197">
        <f>F164+F165</f>
        <v>4875.775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199" t="s">
        <v>10</v>
      </c>
      <c r="B164" s="196">
        <f t="shared" si="1"/>
        <v>2848.852</v>
      </c>
      <c r="C164" s="196"/>
      <c r="D164" s="196"/>
      <c r="E164" s="196">
        <v>1402.429</v>
      </c>
      <c r="F164" s="197">
        <v>1446.423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199" t="s">
        <v>7</v>
      </c>
      <c r="B165" s="196">
        <f t="shared" si="1"/>
        <v>3472.35</v>
      </c>
      <c r="C165" s="196">
        <f>C166+C167+C168</f>
        <v>0</v>
      </c>
      <c r="D165" s="196">
        <f>D166+D167+D168</f>
        <v>0</v>
      </c>
      <c r="E165" s="196">
        <f>E166+E167+E168</f>
        <v>42.998000000000005</v>
      </c>
      <c r="F165" s="197">
        <f>F166+F167+F168</f>
        <v>3429.352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199" t="s">
        <v>8</v>
      </c>
      <c r="B166" s="196">
        <f t="shared" si="1"/>
        <v>350.23199999999997</v>
      </c>
      <c r="C166" s="200"/>
      <c r="D166" s="196"/>
      <c r="E166" s="200">
        <v>18.837</v>
      </c>
      <c r="F166" s="201">
        <v>331.395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99" t="s">
        <v>39</v>
      </c>
      <c r="B167" s="196">
        <f>C167+D167+E167+F167</f>
        <v>0</v>
      </c>
      <c r="C167" s="200">
        <v>0</v>
      </c>
      <c r="D167" s="200">
        <v>0</v>
      </c>
      <c r="E167" s="200">
        <v>0</v>
      </c>
      <c r="F167" s="201"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 thickBot="1">
      <c r="A168" s="211" t="s">
        <v>9</v>
      </c>
      <c r="B168" s="212">
        <f>C168+D168+E168+F168</f>
        <v>3122.118</v>
      </c>
      <c r="C168" s="213"/>
      <c r="D168" s="212"/>
      <c r="E168" s="213">
        <v>24.161</v>
      </c>
      <c r="F168" s="214">
        <v>3097.957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 thickBot="1">
      <c r="A169" s="246" t="s">
        <v>10</v>
      </c>
      <c r="B169" s="241">
        <f aca="true" t="shared" si="2" ref="B169:B183">C169+D169+E169+F169</f>
        <v>87252.11</v>
      </c>
      <c r="C169" s="242">
        <f>C170+C171+C175</f>
        <v>41428.44399999999</v>
      </c>
      <c r="D169" s="242">
        <f>D170+D171+D175</f>
        <v>2135.067</v>
      </c>
      <c r="E169" s="242">
        <f>E170+E171+E175</f>
        <v>28987.8948</v>
      </c>
      <c r="F169" s="243">
        <f>F170+F171+F175</f>
        <v>14700.704200000006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>
      <c r="A170" s="215" t="s">
        <v>40</v>
      </c>
      <c r="B170" s="216">
        <f t="shared" si="2"/>
        <v>67086.87999999999</v>
      </c>
      <c r="C170" s="217">
        <f>C9+C24+C32+C40+C48+C56+C62+C68+C76+C84+C90+C98+C106+C112+C118+C126+C132+C138+C144+C150+C156+C164</f>
        <v>26869.549999999996</v>
      </c>
      <c r="D170" s="217">
        <f>D9+D24+D32+D40+D48+D56+D62+D68+D76+D84+D90+D98+D106+D112+D118+D126+D132+D138+D144+D150+D156+D164</f>
        <v>1637.576</v>
      </c>
      <c r="E170" s="217">
        <f>E9+E24+E32+E40+E48+E56+E62+E68+E76+E84+E90+E98+E106+E112+E118+E126+E132+E138+E144+E150+E156+E164</f>
        <v>24013.426799999997</v>
      </c>
      <c r="F170" s="218">
        <f>F9+F24+F32+F40+F48+F56+F62+F68+F76+F84+F90+F98+F106+F112+F118+F126+F132+F138+F144+F150+F156+F164</f>
        <v>14566.327200000005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>
      <c r="A171" s="215" t="s">
        <v>42</v>
      </c>
      <c r="B171" s="237">
        <f t="shared" si="2"/>
        <v>18917.415999999997</v>
      </c>
      <c r="C171" s="196">
        <f aca="true" t="shared" si="3" ref="C171:F172">C10+C25+C33+C41+C49+C77+C69+C99+C91+C119+C157</f>
        <v>13311.079999999998</v>
      </c>
      <c r="D171" s="196">
        <f t="shared" si="3"/>
        <v>497.491</v>
      </c>
      <c r="E171" s="196">
        <f t="shared" si="3"/>
        <v>4974.468</v>
      </c>
      <c r="F171" s="197">
        <f t="shared" si="3"/>
        <v>134.377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215" t="s">
        <v>41</v>
      </c>
      <c r="B172" s="237">
        <f t="shared" si="2"/>
        <v>33.104</v>
      </c>
      <c r="C172" s="196">
        <f t="shared" si="3"/>
        <v>21.935000000000002</v>
      </c>
      <c r="D172" s="196">
        <f t="shared" si="3"/>
        <v>1.417</v>
      </c>
      <c r="E172" s="196">
        <f t="shared" si="3"/>
        <v>9.406</v>
      </c>
      <c r="F172" s="197">
        <f t="shared" si="3"/>
        <v>0.346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99" t="s">
        <v>45</v>
      </c>
      <c r="B173" s="237">
        <f t="shared" si="2"/>
        <v>3694.733</v>
      </c>
      <c r="C173" s="196">
        <f>C16</f>
        <v>3694.733</v>
      </c>
      <c r="D173" s="196">
        <f>D16</f>
        <v>0</v>
      </c>
      <c r="E173" s="196">
        <f>E16</f>
        <v>0</v>
      </c>
      <c r="F173" s="197">
        <f>F16</f>
        <v>0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>
      <c r="A174" s="215" t="s">
        <v>46</v>
      </c>
      <c r="B174" s="237">
        <f t="shared" si="2"/>
        <v>6.956</v>
      </c>
      <c r="C174" s="196">
        <f>C18</f>
        <v>6.956</v>
      </c>
      <c r="D174" s="196">
        <f>D18</f>
        <v>0</v>
      </c>
      <c r="E174" s="196">
        <f>E18</f>
        <v>0</v>
      </c>
      <c r="F174" s="197">
        <f>F18</f>
        <v>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3.25">
      <c r="A175" s="238" t="s">
        <v>22</v>
      </c>
      <c r="B175" s="237">
        <f t="shared" si="2"/>
        <v>1247.814</v>
      </c>
      <c r="C175" s="196">
        <f>C7</f>
        <v>1247.814</v>
      </c>
      <c r="D175" s="196"/>
      <c r="E175" s="196"/>
      <c r="F175" s="197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 thickBot="1">
      <c r="A176" s="238" t="s">
        <v>23</v>
      </c>
      <c r="B176" s="239">
        <f t="shared" si="2"/>
        <v>3.318</v>
      </c>
      <c r="C176" s="212">
        <f>C8</f>
        <v>3.318</v>
      </c>
      <c r="D176" s="212"/>
      <c r="E176" s="212"/>
      <c r="F176" s="240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233" t="s">
        <v>11</v>
      </c>
      <c r="B177" s="241">
        <f t="shared" si="2"/>
        <v>29245.877999999997</v>
      </c>
      <c r="C177" s="242">
        <f>C178+C179+C180</f>
        <v>112.14600000000002</v>
      </c>
      <c r="D177" s="242">
        <f>D178+D179+D180</f>
        <v>1.53</v>
      </c>
      <c r="E177" s="242">
        <f>E178+E179+E180</f>
        <v>1672.813</v>
      </c>
      <c r="F177" s="243">
        <f>F178+F179+F180</f>
        <v>27459.388999999996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>
      <c r="A178" s="244" t="s">
        <v>8</v>
      </c>
      <c r="B178" s="216">
        <f t="shared" si="2"/>
        <v>11390.223000000002</v>
      </c>
      <c r="C178" s="217">
        <f aca="true" t="shared" si="4" ref="C178:F180">C13+C20+C28+C36+C44+C52+C58+C64+C72+C80+C86+C94+C102+C108+C114+C122+C128+C134+C140+C146+C152+C160+C166</f>
        <v>0.5310000000000001</v>
      </c>
      <c r="D178" s="217">
        <f t="shared" si="4"/>
        <v>0</v>
      </c>
      <c r="E178" s="217">
        <f t="shared" si="4"/>
        <v>1006.7950000000001</v>
      </c>
      <c r="F178" s="218">
        <f t="shared" si="4"/>
        <v>10382.897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3.25">
      <c r="A179" s="245" t="s">
        <v>39</v>
      </c>
      <c r="B179" s="237">
        <f>C179+D179+E179+F179</f>
        <v>562.359</v>
      </c>
      <c r="C179" s="196">
        <f t="shared" si="4"/>
        <v>0</v>
      </c>
      <c r="D179" s="196">
        <f t="shared" si="4"/>
        <v>0</v>
      </c>
      <c r="E179" s="196">
        <f t="shared" si="4"/>
        <v>171.009</v>
      </c>
      <c r="F179" s="197">
        <f t="shared" si="4"/>
        <v>391.35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246" t="s">
        <v>9</v>
      </c>
      <c r="B180" s="239">
        <f>C180+D180+E180+F180</f>
        <v>17293.295999999995</v>
      </c>
      <c r="C180" s="212">
        <f>C15+C22+C30+C38+C46+C54+C60+C66+C74+C82+C88+C96+C104+C110+C116+C124+C130+C136+C142+C148+C154+C162+C168</f>
        <v>111.61500000000001</v>
      </c>
      <c r="D180" s="212">
        <f t="shared" si="4"/>
        <v>1.53</v>
      </c>
      <c r="E180" s="212">
        <f t="shared" si="4"/>
        <v>495.00899999999996</v>
      </c>
      <c r="F180" s="240">
        <f t="shared" si="4"/>
        <v>16685.141999999996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247" t="s">
        <v>28</v>
      </c>
      <c r="B181" s="258">
        <f t="shared" si="2"/>
        <v>43.378</v>
      </c>
      <c r="C181" s="259">
        <f>C182+C183</f>
        <v>32.209</v>
      </c>
      <c r="D181" s="259">
        <f>D182+D183</f>
        <v>1.417</v>
      </c>
      <c r="E181" s="259">
        <f>E182+E183</f>
        <v>9.406</v>
      </c>
      <c r="F181" s="260">
        <f>F182+F183</f>
        <v>0.346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3.25">
      <c r="A182" s="251" t="s">
        <v>29</v>
      </c>
      <c r="B182" s="216">
        <f t="shared" si="2"/>
        <v>40.06</v>
      </c>
      <c r="C182" s="217">
        <f>C11+C18+C26+C34+C42+C50+C78+C70+C92+C100+C120+C158</f>
        <v>28.891000000000002</v>
      </c>
      <c r="D182" s="217">
        <f>D11+D18+D26+D34+D42+D50+D78+D70+D92+D100+D120+D158</f>
        <v>1.417</v>
      </c>
      <c r="E182" s="217">
        <f>E11+E18+E26+E34+E42+E50+E78+E70+E92+E100+E120+E158</f>
        <v>9.406</v>
      </c>
      <c r="F182" s="218">
        <f>F11+F18+F26+F34+F42+F50+F78+F70+F92+F100+F120+F158</f>
        <v>0.346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4" thickBot="1">
      <c r="A183" s="252" t="s">
        <v>37</v>
      </c>
      <c r="B183" s="239">
        <f t="shared" si="2"/>
        <v>3.318</v>
      </c>
      <c r="C183" s="212">
        <f>C8</f>
        <v>3.318</v>
      </c>
      <c r="D183" s="212">
        <f>D8</f>
        <v>0</v>
      </c>
      <c r="E183" s="212">
        <f>E8</f>
        <v>0</v>
      </c>
      <c r="F183" s="240">
        <f>F8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261"/>
      <c r="B184" s="254"/>
      <c r="C184" s="254"/>
      <c r="D184" s="254"/>
      <c r="E184" s="254"/>
      <c r="F184" s="2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262" t="s">
        <v>51</v>
      </c>
      <c r="B185" s="248">
        <f>C185+D185+E185+F185</f>
        <v>73991.152</v>
      </c>
      <c r="C185" s="250">
        <f>C5</f>
        <v>24633.156999999996</v>
      </c>
      <c r="D185" s="250">
        <f>D5</f>
        <v>1678.723</v>
      </c>
      <c r="E185" s="250">
        <f>E5</f>
        <v>20412.028</v>
      </c>
      <c r="F185" s="250">
        <f>F5</f>
        <v>27267.244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4" thickBot="1">
      <c r="A186" s="262" t="s">
        <v>53</v>
      </c>
      <c r="B186" s="248">
        <f>C186+D186+E186+F186</f>
        <v>3694.733</v>
      </c>
      <c r="C186" s="236">
        <f>C16</f>
        <v>3694.733</v>
      </c>
      <c r="D186" s="236">
        <f>D16</f>
        <v>0</v>
      </c>
      <c r="E186" s="236">
        <f>E16</f>
        <v>0</v>
      </c>
      <c r="F186" s="236">
        <f>F16</f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4" thickBot="1">
      <c r="A187" s="262" t="s">
        <v>52</v>
      </c>
      <c r="B187" s="248">
        <f>C187+D187+E187+F187</f>
        <v>42506.835999999996</v>
      </c>
      <c r="C187" s="236">
        <f>C23+C31+C39+C47+C55+C61+C67+C75+C83+C89+C97+C105+C111+C117+C125+C131+C137+C143+C149+C155+C163</f>
        <v>16907.433</v>
      </c>
      <c r="D187" s="236">
        <f>D23+D31+D39+D47+D55+D61+D67+D75+D83+D89+D97+D105+D111+D117+D125+D131+D137+D143+D149+D155+D163</f>
        <v>457.874</v>
      </c>
      <c r="E187" s="236">
        <f>E23+E31+E39+E47+E55+E61+E67+E75+E83+E89+E97+E105+E111+E117+E125+E131+E137+E143+E149+E155+E163</f>
        <v>10248.679799999998</v>
      </c>
      <c r="F187" s="236">
        <f>F23+F31+F39+F47+F55+F61+F67+F75+F83+F89+F97+F105+F111+F117+F125+F131+F137+F143+F149+F155+F163</f>
        <v>14892.849199999999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4" thickBot="1">
      <c r="A188" s="261"/>
      <c r="B188" s="256">
        <f>C188+D188+E188+F188</f>
        <v>120192.72099999999</v>
      </c>
      <c r="C188" s="248">
        <f>SUM(C185:C187)</f>
        <v>45235.323</v>
      </c>
      <c r="D188" s="248">
        <f>SUM(D185:D187)</f>
        <v>2136.5969999999998</v>
      </c>
      <c r="E188" s="248">
        <f>SUM(E185:E187)</f>
        <v>30660.707799999996</v>
      </c>
      <c r="F188" s="248">
        <f>SUM(F185:F187)</f>
        <v>42160.093199999996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261"/>
      <c r="B189" s="254">
        <f>B188-B191</f>
        <v>0</v>
      </c>
      <c r="C189" s="254">
        <f>C188-C191</f>
        <v>0</v>
      </c>
      <c r="D189" s="254">
        <f>D188-D191</f>
        <v>0</v>
      </c>
      <c r="E189" s="254">
        <f>E188-E191</f>
        <v>0</v>
      </c>
      <c r="F189" s="254">
        <f>F188-F191</f>
        <v>0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4" thickBot="1">
      <c r="A190" s="253"/>
      <c r="B190" s="254"/>
      <c r="C190" s="254"/>
      <c r="D190" s="254"/>
      <c r="E190" s="254"/>
      <c r="F190" s="2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4" thickBot="1">
      <c r="A191" s="262" t="s">
        <v>67</v>
      </c>
      <c r="B191" s="248">
        <f>C191+D191+E191+F191</f>
        <v>120192.72099999999</v>
      </c>
      <c r="C191" s="250">
        <f>C5+C16+C23+C31+C39+C47+C55+C61+C67+C75+C83+C89+C97+C105+C111+C117+C125+C131+C137+C143+C149+C155+C163</f>
        <v>45235.323</v>
      </c>
      <c r="D191" s="250">
        <f>D5+D16+D23+D31+D39+D47+D55+D61+D67+D75+D83+D89+D97+D105+D111+D117+D125+D131+D137+D143+D149+D155+D163</f>
        <v>2136.5969999999998</v>
      </c>
      <c r="E191" s="250">
        <f>E5+E16+E23+E31+E39+E47+E55+E61+E67+E75+E83+E89+E97+E105+E111+E117+E125+E131+E137+E143+E149+E155+E163</f>
        <v>30660.7078</v>
      </c>
      <c r="F191" s="250">
        <f>F5+F16+F23+F31+F39+F47+F55+F61+F67+F75+F83+F89+F97+F105+F111+F117+F125+F131+F137+F143+F149+F155+F163</f>
        <v>42160.093199999996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73" sqref="I173"/>
    </sheetView>
  </sheetViews>
  <sheetFormatPr defaultColWidth="9.00390625" defaultRowHeight="12.75"/>
  <cols>
    <col min="1" max="1" width="67.875" style="172" customWidth="1"/>
    <col min="2" max="6" width="25.25390625" style="172" customWidth="1"/>
    <col min="7" max="7" width="20.875" style="56" customWidth="1"/>
    <col min="8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9" t="s">
        <v>96</v>
      </c>
      <c r="B2" s="280"/>
      <c r="C2" s="280"/>
      <c r="D2" s="280"/>
      <c r="E2" s="280"/>
      <c r="F2" s="280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219" t="s">
        <v>95</v>
      </c>
      <c r="B4" s="220"/>
      <c r="C4" s="221" t="s">
        <v>0</v>
      </c>
      <c r="D4" s="221" t="s">
        <v>1</v>
      </c>
      <c r="E4" s="221" t="s">
        <v>2</v>
      </c>
      <c r="F4" s="22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223" t="s">
        <v>20</v>
      </c>
      <c r="B5" s="217">
        <f aca="true" t="shared" si="0" ref="B5:B86">C5+D5+E5+F5</f>
        <v>76928.286</v>
      </c>
      <c r="C5" s="217">
        <f>C7+C9+C10+C12</f>
        <v>24489.014000000003</v>
      </c>
      <c r="D5" s="217">
        <f>D7+D9+D10+D12</f>
        <v>1869.22</v>
      </c>
      <c r="E5" s="217">
        <f>E7+E9+E10+E12</f>
        <v>21357.599</v>
      </c>
      <c r="F5" s="218">
        <f>F7+F9+F10+F12</f>
        <v>29212.452999999994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195" t="s">
        <v>27</v>
      </c>
      <c r="B6" s="196">
        <f t="shared" si="0"/>
        <v>24.706000000000003</v>
      </c>
      <c r="C6" s="196">
        <f>C8+C11</f>
        <v>13.595000000000002</v>
      </c>
      <c r="D6" s="196">
        <f>D8+D11</f>
        <v>1.544</v>
      </c>
      <c r="E6" s="196">
        <f>E8+E11</f>
        <v>9.321000000000002</v>
      </c>
      <c r="F6" s="197">
        <f>F8+F11</f>
        <v>0.24599999999999997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195" t="s">
        <v>22</v>
      </c>
      <c r="B7" s="196">
        <f t="shared" si="0"/>
        <v>1240.605</v>
      </c>
      <c r="C7" s="196">
        <v>1240.605</v>
      </c>
      <c r="D7" s="196"/>
      <c r="E7" s="196"/>
      <c r="F7" s="197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195" t="s">
        <v>23</v>
      </c>
      <c r="B8" s="196">
        <f t="shared" si="0"/>
        <v>3.358</v>
      </c>
      <c r="C8" s="196">
        <v>3.358</v>
      </c>
      <c r="D8" s="196"/>
      <c r="E8" s="196"/>
      <c r="F8" s="197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198" t="s">
        <v>24</v>
      </c>
      <c r="B9" s="196">
        <f t="shared" si="0"/>
        <v>47863.174</v>
      </c>
      <c r="C9" s="196">
        <f>25137.534+653.024-1065.771-342.4+4.078-544.229-3059.816+152.716+6.41-1868.906+1340.605+C201+C202+C203-2822.481+750-350+2500-396.595-995+500-541.337+556.774-430-6.202+797.481+C33</f>
        <v>19987.885000000002</v>
      </c>
      <c r="D9" s="196">
        <f>685.478-30.701+705-5</f>
        <v>1354.777</v>
      </c>
      <c r="E9" s="196">
        <f>16523.533+811.432+552.809-1044.229+9.833-4.078-460.127-209.057-300-250-15+283.857-95+E25+E49</f>
        <v>15823.472999999998</v>
      </c>
      <c r="F9" s="197">
        <f>10014.106+1501.398-9.833-118.968+55.463-11.628-59.92+55.463+194.537-1000+25+4.158+55.463-25+F45+F80+F122+F25+F49</f>
        <v>10697.038999999995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198" t="s">
        <v>25</v>
      </c>
      <c r="B10" s="225">
        <f t="shared" si="0"/>
        <v>8749.496</v>
      </c>
      <c r="C10" s="225">
        <f>1868.906+3273.17-1340.605-C201-C202-C203-556.774+6.202-C33</f>
        <v>3238.8990000000003</v>
      </c>
      <c r="D10" s="225">
        <f>5+507.863</f>
        <v>512.863</v>
      </c>
      <c r="E10" s="225">
        <f>5244.184-283.857-E25-E33-E41-E49-E69-E77-E91-E99-E119-E157</f>
        <v>4940.827</v>
      </c>
      <c r="F10" s="226">
        <f>25+114.507-F25-F33-F41-F49-F69-F77-F91-F99-F119-F157</f>
        <v>56.90700000000001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198" t="s">
        <v>26</v>
      </c>
      <c r="B11" s="225">
        <f t="shared" si="0"/>
        <v>21.348000000000003</v>
      </c>
      <c r="C11" s="225">
        <f>32.798-22.505-1.259-0.4+0.367+1.259-C34</f>
        <v>10.237000000000002</v>
      </c>
      <c r="D11" s="225">
        <v>1.544</v>
      </c>
      <c r="E11" s="225">
        <f>9.351-E26-E34-E42-E50-E70-E78-E92-E100-E120-E158</f>
        <v>9.321000000000002</v>
      </c>
      <c r="F11" s="226">
        <f>0.373-F26-F34-F42-F50-F70-F78-F92-F100-F120-F158</f>
        <v>0.24599999999999997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199" t="s">
        <v>7</v>
      </c>
      <c r="B12" s="196">
        <f t="shared" si="0"/>
        <v>19075.011000000002</v>
      </c>
      <c r="C12" s="196">
        <f>C13+C14+C15</f>
        <v>21.625</v>
      </c>
      <c r="D12" s="196">
        <f>D13+D14+D15</f>
        <v>1.58</v>
      </c>
      <c r="E12" s="196">
        <f>E13+E14+E15</f>
        <v>593.299</v>
      </c>
      <c r="F12" s="197">
        <f>F13+F14+F15</f>
        <v>18458.507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199" t="s">
        <v>8</v>
      </c>
      <c r="B13" s="196">
        <f t="shared" si="0"/>
        <v>5362.705000000001</v>
      </c>
      <c r="C13" s="200">
        <f>20.539-20.539</f>
        <v>0</v>
      </c>
      <c r="D13" s="200">
        <v>0</v>
      </c>
      <c r="E13" s="200">
        <v>259.54</v>
      </c>
      <c r="F13" s="201">
        <f>117.167+5030.658-534.66+140+350</f>
        <v>5103.165000000001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199" t="s">
        <v>39</v>
      </c>
      <c r="B14" s="196">
        <f t="shared" si="0"/>
        <v>0</v>
      </c>
      <c r="C14" s="200">
        <v>0</v>
      </c>
      <c r="D14" s="200">
        <v>0</v>
      </c>
      <c r="E14" s="200">
        <v>0</v>
      </c>
      <c r="F14" s="201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199" t="s">
        <v>9</v>
      </c>
      <c r="B15" s="196">
        <f t="shared" si="0"/>
        <v>13712.306</v>
      </c>
      <c r="C15" s="200">
        <v>21.625</v>
      </c>
      <c r="D15" s="200">
        <v>1.58</v>
      </c>
      <c r="E15" s="200">
        <f>733.759-400</f>
        <v>333.759</v>
      </c>
      <c r="F15" s="201">
        <f>202.858+12065.424+534.66+202.4+350</f>
        <v>13355.342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195" t="s">
        <v>43</v>
      </c>
      <c r="B16" s="196">
        <f t="shared" si="0"/>
        <v>3577.07</v>
      </c>
      <c r="C16" s="196">
        <f>C17+C19</f>
        <v>3577.07</v>
      </c>
      <c r="D16" s="196">
        <f>D17+D19</f>
        <v>0</v>
      </c>
      <c r="E16" s="196">
        <f>E17+E19</f>
        <v>0</v>
      </c>
      <c r="F16" s="197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199" t="s">
        <v>10</v>
      </c>
      <c r="B17" s="202">
        <f t="shared" si="0"/>
        <v>3577.07</v>
      </c>
      <c r="C17" s="202">
        <f>0+3577.07</f>
        <v>3577.07</v>
      </c>
      <c r="D17" s="200"/>
      <c r="E17" s="200"/>
      <c r="F17" s="201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198" t="s">
        <v>44</v>
      </c>
      <c r="B18" s="203">
        <f t="shared" si="0"/>
        <v>6.896</v>
      </c>
      <c r="C18" s="202">
        <f>0+6.896</f>
        <v>6.896</v>
      </c>
      <c r="D18" s="204"/>
      <c r="E18" s="204"/>
      <c r="F18" s="205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199" t="s">
        <v>7</v>
      </c>
      <c r="B19" s="196">
        <f t="shared" si="0"/>
        <v>0</v>
      </c>
      <c r="C19" s="196">
        <f>C20+C21+C22</f>
        <v>0</v>
      </c>
      <c r="D19" s="196">
        <f>D20+D21+D22</f>
        <v>0</v>
      </c>
      <c r="E19" s="196">
        <f>E20+E21+E22</f>
        <v>0</v>
      </c>
      <c r="F19" s="197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199" t="s">
        <v>8</v>
      </c>
      <c r="B20" s="196">
        <f t="shared" si="0"/>
        <v>0</v>
      </c>
      <c r="C20" s="206"/>
      <c r="D20" s="206"/>
      <c r="E20" s="206"/>
      <c r="F20" s="207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199" t="s">
        <v>39</v>
      </c>
      <c r="B21" s="196">
        <f t="shared" si="0"/>
        <v>0</v>
      </c>
      <c r="C21" s="200">
        <v>0</v>
      </c>
      <c r="D21" s="200">
        <v>0</v>
      </c>
      <c r="E21" s="200">
        <v>0</v>
      </c>
      <c r="F21" s="201">
        <v>0</v>
      </c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199" t="s">
        <v>9</v>
      </c>
      <c r="B22" s="196">
        <f t="shared" si="0"/>
        <v>0</v>
      </c>
      <c r="C22" s="200"/>
      <c r="D22" s="200"/>
      <c r="E22" s="200"/>
      <c r="F22" s="201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195" t="s">
        <v>19</v>
      </c>
      <c r="B23" s="196">
        <f t="shared" si="0"/>
        <v>6312.941</v>
      </c>
      <c r="C23" s="196">
        <f>C24+C25+C27</f>
        <v>913.165</v>
      </c>
      <c r="D23" s="196">
        <f>D24+D25+D27</f>
        <v>0</v>
      </c>
      <c r="E23" s="196">
        <f>E24+E25+E27</f>
        <v>2261.83</v>
      </c>
      <c r="F23" s="197">
        <f>F24+F25+F27</f>
        <v>3137.946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199" t="s">
        <v>10</v>
      </c>
      <c r="B24" s="196">
        <f t="shared" si="0"/>
        <v>3967.708</v>
      </c>
      <c r="C24" s="196">
        <v>804.28</v>
      </c>
      <c r="D24" s="196">
        <v>0</v>
      </c>
      <c r="E24" s="196">
        <f>1992.584-E25</f>
        <v>1982.584</v>
      </c>
      <c r="F24" s="197">
        <f>1194.344-F25</f>
        <v>1180.844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198" t="s">
        <v>75</v>
      </c>
      <c r="B25" s="196">
        <f t="shared" si="0"/>
        <v>23.5</v>
      </c>
      <c r="C25" s="196"/>
      <c r="D25" s="196"/>
      <c r="E25" s="200">
        <v>10</v>
      </c>
      <c r="F25" s="201">
        <v>13.5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198" t="s">
        <v>26</v>
      </c>
      <c r="B26" s="196">
        <f t="shared" si="0"/>
        <v>0.035</v>
      </c>
      <c r="C26" s="196"/>
      <c r="D26" s="196"/>
      <c r="E26" s="200">
        <v>0.017</v>
      </c>
      <c r="F26" s="201">
        <v>0.018</v>
      </c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199" t="s">
        <v>7</v>
      </c>
      <c r="B27" s="196">
        <f t="shared" si="0"/>
        <v>2321.7329999999997</v>
      </c>
      <c r="C27" s="196">
        <f>C28+C29+C30</f>
        <v>108.885</v>
      </c>
      <c r="D27" s="196">
        <f>D28+D29+D30</f>
        <v>0</v>
      </c>
      <c r="E27" s="196">
        <f>E28+E29+E30</f>
        <v>269.246</v>
      </c>
      <c r="F27" s="197">
        <f>F28+F29+F30</f>
        <v>1943.6019999999999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199" t="s">
        <v>8</v>
      </c>
      <c r="B28" s="196">
        <f t="shared" si="0"/>
        <v>1396.993</v>
      </c>
      <c r="C28" s="200"/>
      <c r="D28" s="200"/>
      <c r="E28" s="200">
        <v>95.03</v>
      </c>
      <c r="F28" s="201">
        <v>1301.963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199" t="s">
        <v>39</v>
      </c>
      <c r="B29" s="196">
        <f>C29+D29+E29+F29</f>
        <v>0</v>
      </c>
      <c r="C29" s="200">
        <v>0</v>
      </c>
      <c r="D29" s="200">
        <v>0</v>
      </c>
      <c r="E29" s="200">
        <v>0</v>
      </c>
      <c r="F29" s="201">
        <v>0</v>
      </c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199" t="s">
        <v>9</v>
      </c>
      <c r="B30" s="196">
        <f t="shared" si="0"/>
        <v>924.74</v>
      </c>
      <c r="C30" s="200">
        <f>127.51-18.625</f>
        <v>108.885</v>
      </c>
      <c r="D30" s="200">
        <v>0</v>
      </c>
      <c r="E30" s="200">
        <f>259.599-85.383</f>
        <v>174.216</v>
      </c>
      <c r="F30" s="201">
        <v>641.639</v>
      </c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195" t="s">
        <v>55</v>
      </c>
      <c r="B31" s="196">
        <f t="shared" si="0"/>
        <v>1023.164</v>
      </c>
      <c r="C31" s="196">
        <f>C32+C33+C35</f>
        <v>1023.164</v>
      </c>
      <c r="D31" s="196"/>
      <c r="E31" s="196"/>
      <c r="F31" s="197"/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199" t="s">
        <v>10</v>
      </c>
      <c r="B32" s="196">
        <f t="shared" si="0"/>
        <v>1010.321</v>
      </c>
      <c r="C32" s="196">
        <f>1022.321-C33</f>
        <v>1010.321</v>
      </c>
      <c r="D32" s="196"/>
      <c r="E32" s="196"/>
      <c r="F32" s="197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198" t="s">
        <v>94</v>
      </c>
      <c r="B33" s="196">
        <f t="shared" si="0"/>
        <v>12</v>
      </c>
      <c r="C33" s="196">
        <v>12</v>
      </c>
      <c r="D33" s="196"/>
      <c r="E33" s="200"/>
      <c r="F33" s="201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198" t="s">
        <v>26</v>
      </c>
      <c r="B34" s="196">
        <f t="shared" si="0"/>
        <v>0.023</v>
      </c>
      <c r="C34" s="196">
        <v>0.023</v>
      </c>
      <c r="D34" s="196"/>
      <c r="E34" s="200"/>
      <c r="F34" s="201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199" t="s">
        <v>7</v>
      </c>
      <c r="B35" s="196">
        <f t="shared" si="0"/>
        <v>0.843</v>
      </c>
      <c r="C35" s="196">
        <f>C36+C37+C38</f>
        <v>0.843</v>
      </c>
      <c r="D35" s="196">
        <f>D36+D37+D38</f>
        <v>0</v>
      </c>
      <c r="E35" s="196">
        <f>E36+E37+E38</f>
        <v>0</v>
      </c>
      <c r="F35" s="197">
        <f>F36+F37+F38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199" t="s">
        <v>8</v>
      </c>
      <c r="B36" s="196">
        <f t="shared" si="0"/>
        <v>0.843</v>
      </c>
      <c r="C36" s="200">
        <f>3.569-2.726</f>
        <v>0.843</v>
      </c>
      <c r="D36" s="200"/>
      <c r="E36" s="200"/>
      <c r="F36" s="201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199" t="s">
        <v>39</v>
      </c>
      <c r="B37" s="196">
        <f t="shared" si="0"/>
        <v>0</v>
      </c>
      <c r="C37" s="200">
        <v>0</v>
      </c>
      <c r="D37" s="200">
        <v>0</v>
      </c>
      <c r="E37" s="200">
        <v>0</v>
      </c>
      <c r="F37" s="201">
        <v>0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199" t="s">
        <v>9</v>
      </c>
      <c r="B38" s="196">
        <f t="shared" si="0"/>
        <v>0</v>
      </c>
      <c r="C38" s="200"/>
      <c r="D38" s="200"/>
      <c r="E38" s="200"/>
      <c r="F38" s="201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195" t="s">
        <v>61</v>
      </c>
      <c r="B39" s="196">
        <f t="shared" si="0"/>
        <v>674.77</v>
      </c>
      <c r="C39" s="196">
        <f>C40+C41+C43</f>
        <v>0</v>
      </c>
      <c r="D39" s="196">
        <f>D40+D41+D43</f>
        <v>562.67</v>
      </c>
      <c r="E39" s="196">
        <f>E40+E41+E43</f>
        <v>79.89500000000001</v>
      </c>
      <c r="F39" s="197">
        <f>F40+F41+F43</f>
        <v>32.205</v>
      </c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199" t="s">
        <v>10</v>
      </c>
      <c r="B40" s="196">
        <f t="shared" si="0"/>
        <v>651.2159999999999</v>
      </c>
      <c r="C40" s="196"/>
      <c r="D40" s="196">
        <v>562.67</v>
      </c>
      <c r="E40" s="196">
        <f>60.895-E45</f>
        <v>60.895</v>
      </c>
      <c r="F40" s="197">
        <f>27.651-F45</f>
        <v>27.651</v>
      </c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198" t="s">
        <v>77</v>
      </c>
      <c r="B41" s="196">
        <f>C41+D41+E41+F41</f>
        <v>3.8</v>
      </c>
      <c r="C41" s="196"/>
      <c r="D41" s="196"/>
      <c r="E41" s="200"/>
      <c r="F41" s="201">
        <v>3.8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198" t="s">
        <v>26</v>
      </c>
      <c r="B42" s="196">
        <f>C42+D42+E42+F42</f>
        <v>0.005</v>
      </c>
      <c r="C42" s="196"/>
      <c r="D42" s="196"/>
      <c r="E42" s="200"/>
      <c r="F42" s="201">
        <v>0.005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199" t="s">
        <v>7</v>
      </c>
      <c r="B43" s="196">
        <f>C43+D43+E43+F43</f>
        <v>19.754</v>
      </c>
      <c r="C43" s="196">
        <f>C44+C45+C46</f>
        <v>0</v>
      </c>
      <c r="D43" s="196">
        <f>D44+D45+D46</f>
        <v>0</v>
      </c>
      <c r="E43" s="196">
        <f>E44+E45+E46</f>
        <v>19</v>
      </c>
      <c r="F43" s="197">
        <f>F44+F45+F46</f>
        <v>0.754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199" t="s">
        <v>8</v>
      </c>
      <c r="B44" s="196">
        <f t="shared" si="0"/>
        <v>19.754</v>
      </c>
      <c r="C44" s="196"/>
      <c r="D44" s="196"/>
      <c r="E44" s="200">
        <v>19</v>
      </c>
      <c r="F44" s="201">
        <v>0.754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199" t="s">
        <v>39</v>
      </c>
      <c r="B45" s="196">
        <f>C45+D45+E45+F45</f>
        <v>0</v>
      </c>
      <c r="C45" s="200">
        <v>0</v>
      </c>
      <c r="D45" s="200">
        <v>0</v>
      </c>
      <c r="E45" s="200">
        <v>0</v>
      </c>
      <c r="F45" s="201"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199" t="s">
        <v>9</v>
      </c>
      <c r="B46" s="196">
        <f>C46+D46+E46+F46</f>
        <v>0</v>
      </c>
      <c r="C46" s="200"/>
      <c r="D46" s="200"/>
      <c r="E46" s="200"/>
      <c r="F46" s="20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195" t="s">
        <v>47</v>
      </c>
      <c r="B47" s="196">
        <f t="shared" si="0"/>
        <v>13031.315999999999</v>
      </c>
      <c r="C47" s="196">
        <f>C48+C49+C51</f>
        <v>6746.565</v>
      </c>
      <c r="D47" s="196">
        <f>D48+D49+D51</f>
        <v>0</v>
      </c>
      <c r="E47" s="196">
        <f>E48+E49+E51</f>
        <v>2442.0029999999997</v>
      </c>
      <c r="F47" s="197">
        <f>F48+F49+F51</f>
        <v>3842.7480000000005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198" t="s">
        <v>21</v>
      </c>
      <c r="B48" s="196">
        <f t="shared" si="0"/>
        <v>4899.617999999999</v>
      </c>
      <c r="C48" s="196">
        <f>6746.565-C49</f>
        <v>1397.8129999999992</v>
      </c>
      <c r="D48" s="196"/>
      <c r="E48" s="196">
        <f>2336.298-E49</f>
        <v>2326.798</v>
      </c>
      <c r="F48" s="197">
        <f>1178.307-F49</f>
        <v>1175.007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228" t="s">
        <v>78</v>
      </c>
      <c r="B49" s="196">
        <f t="shared" si="0"/>
        <v>5361.552000000001</v>
      </c>
      <c r="C49" s="196">
        <v>5348.752</v>
      </c>
      <c r="D49" s="196"/>
      <c r="E49" s="196">
        <v>9.5</v>
      </c>
      <c r="F49" s="197">
        <v>3.3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198" t="s">
        <v>26</v>
      </c>
      <c r="B50" s="203">
        <f t="shared" si="0"/>
        <v>7.633</v>
      </c>
      <c r="C50" s="203">
        <f>0.314+7.3</f>
        <v>7.614</v>
      </c>
      <c r="D50" s="225"/>
      <c r="E50" s="203">
        <v>0.013</v>
      </c>
      <c r="F50" s="210">
        <v>0.006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199" t="s">
        <v>7</v>
      </c>
      <c r="B51" s="196">
        <f t="shared" si="0"/>
        <v>2770.146</v>
      </c>
      <c r="C51" s="196">
        <f>C52+C53+C54</f>
        <v>0</v>
      </c>
      <c r="D51" s="196">
        <f>D52+D53+D54</f>
        <v>0</v>
      </c>
      <c r="E51" s="196">
        <f>E52+E53+E54</f>
        <v>105.705</v>
      </c>
      <c r="F51" s="197">
        <f>F52+F53+F54</f>
        <v>2664.4410000000003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199" t="s">
        <v>8</v>
      </c>
      <c r="B52" s="196">
        <f t="shared" si="0"/>
        <v>2570.311</v>
      </c>
      <c r="C52" s="200"/>
      <c r="D52" s="200"/>
      <c r="E52" s="200">
        <v>105.705</v>
      </c>
      <c r="F52" s="201">
        <v>2464.606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199" t="s">
        <v>39</v>
      </c>
      <c r="B53" s="196">
        <f t="shared" si="0"/>
        <v>168.19400000000002</v>
      </c>
      <c r="C53" s="200"/>
      <c r="D53" s="200"/>
      <c r="E53" s="200">
        <v>0</v>
      </c>
      <c r="F53" s="201">
        <f>77.607+94.745-4.158</f>
        <v>168.19400000000002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199" t="s">
        <v>9</v>
      </c>
      <c r="B54" s="196">
        <f t="shared" si="0"/>
        <v>31.641</v>
      </c>
      <c r="C54" s="200"/>
      <c r="D54" s="200"/>
      <c r="E54" s="200">
        <v>0</v>
      </c>
      <c r="F54" s="201">
        <v>31.641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195" t="s">
        <v>60</v>
      </c>
      <c r="B55" s="196">
        <f t="shared" si="0"/>
        <v>109.929</v>
      </c>
      <c r="C55" s="196"/>
      <c r="D55" s="196"/>
      <c r="E55" s="196">
        <f>E56+E57</f>
        <v>51.127</v>
      </c>
      <c r="F55" s="197">
        <f>F56+F57</f>
        <v>58.802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199" t="s">
        <v>10</v>
      </c>
      <c r="B56" s="196">
        <f t="shared" si="0"/>
        <v>82.473</v>
      </c>
      <c r="C56" s="196"/>
      <c r="D56" s="196"/>
      <c r="E56" s="196">
        <v>51.127</v>
      </c>
      <c r="F56" s="197">
        <v>31.346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199" t="s">
        <v>7</v>
      </c>
      <c r="B57" s="196">
        <f t="shared" si="0"/>
        <v>27.456</v>
      </c>
      <c r="C57" s="196">
        <f>C58+C59+C60</f>
        <v>0</v>
      </c>
      <c r="D57" s="196">
        <f>D58+D59+D60</f>
        <v>0</v>
      </c>
      <c r="E57" s="196">
        <f>E58+E59+E60</f>
        <v>0</v>
      </c>
      <c r="F57" s="197">
        <f>F58+F59+F60</f>
        <v>27.456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199" t="s">
        <v>8</v>
      </c>
      <c r="B58" s="196">
        <f t="shared" si="0"/>
        <v>21.307</v>
      </c>
      <c r="C58" s="200"/>
      <c r="D58" s="200"/>
      <c r="E58" s="200"/>
      <c r="F58" s="201">
        <v>21.307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199" t="s">
        <v>39</v>
      </c>
      <c r="B59" s="196">
        <f>C59+D59+E59+F59</f>
        <v>0</v>
      </c>
      <c r="C59" s="200">
        <v>0</v>
      </c>
      <c r="D59" s="200">
        <v>0</v>
      </c>
      <c r="E59" s="200">
        <v>0</v>
      </c>
      <c r="F59" s="201"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199" t="s">
        <v>9</v>
      </c>
      <c r="B60" s="196">
        <f t="shared" si="0"/>
        <v>6.149</v>
      </c>
      <c r="C60" s="200"/>
      <c r="D60" s="200"/>
      <c r="E60" s="200"/>
      <c r="F60" s="201">
        <v>6.149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195" t="s">
        <v>59</v>
      </c>
      <c r="B61" s="196">
        <f t="shared" si="0"/>
        <v>13.444</v>
      </c>
      <c r="C61" s="196">
        <f>C62+C63</f>
        <v>0</v>
      </c>
      <c r="D61" s="196"/>
      <c r="E61" s="196">
        <f>E62+E63</f>
        <v>0</v>
      </c>
      <c r="F61" s="197">
        <f>F62+F63</f>
        <v>13.444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199" t="s">
        <v>10</v>
      </c>
      <c r="B62" s="196">
        <f t="shared" si="0"/>
        <v>13.444</v>
      </c>
      <c r="C62" s="196"/>
      <c r="D62" s="196"/>
      <c r="E62" s="196"/>
      <c r="F62" s="197">
        <v>13.444</v>
      </c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199" t="s">
        <v>7</v>
      </c>
      <c r="B63" s="196">
        <f t="shared" si="0"/>
        <v>0</v>
      </c>
      <c r="C63" s="196">
        <f>C64+C65+C66</f>
        <v>0</v>
      </c>
      <c r="D63" s="196">
        <f>D64+D65+D66</f>
        <v>0</v>
      </c>
      <c r="E63" s="196">
        <f>E64+E65+E66</f>
        <v>0</v>
      </c>
      <c r="F63" s="197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199" t="s">
        <v>8</v>
      </c>
      <c r="B64" s="196">
        <f t="shared" si="0"/>
        <v>0</v>
      </c>
      <c r="C64" s="196"/>
      <c r="D64" s="196"/>
      <c r="E64" s="196"/>
      <c r="F64" s="20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199" t="s">
        <v>39</v>
      </c>
      <c r="B65" s="196">
        <f t="shared" si="0"/>
        <v>0</v>
      </c>
      <c r="C65" s="200">
        <v>0</v>
      </c>
      <c r="D65" s="200">
        <v>0</v>
      </c>
      <c r="E65" s="200">
        <v>0</v>
      </c>
      <c r="F65" s="201"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199" t="s">
        <v>9</v>
      </c>
      <c r="B66" s="196">
        <f t="shared" si="0"/>
        <v>0</v>
      </c>
      <c r="C66" s="196"/>
      <c r="D66" s="196"/>
      <c r="E66" s="196"/>
      <c r="F66" s="197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195" t="s">
        <v>48</v>
      </c>
      <c r="B67" s="196">
        <f t="shared" si="0"/>
        <v>2674.345</v>
      </c>
      <c r="C67" s="196">
        <f>C68+C69+C71</f>
        <v>2568.9579999999996</v>
      </c>
      <c r="D67" s="196"/>
      <c r="E67" s="196">
        <f>E68+E71</f>
        <v>105.387</v>
      </c>
      <c r="F67" s="197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199" t="s">
        <v>10</v>
      </c>
      <c r="B68" s="196">
        <f t="shared" si="0"/>
        <v>2464.489</v>
      </c>
      <c r="C68" s="196">
        <f>541.337+2027.621-C69</f>
        <v>2359.102</v>
      </c>
      <c r="D68" s="196"/>
      <c r="E68" s="196">
        <f>15+90.387</f>
        <v>105.387</v>
      </c>
      <c r="F68" s="197"/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28" t="s">
        <v>79</v>
      </c>
      <c r="B69" s="202">
        <f>C69+D69+E69+F69</f>
        <v>209.856</v>
      </c>
      <c r="C69" s="202">
        <v>209.856</v>
      </c>
      <c r="D69" s="230"/>
      <c r="E69" s="230"/>
      <c r="F69" s="19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198" t="s">
        <v>31</v>
      </c>
      <c r="B70" s="203">
        <f>C70+D70+E70+F70</f>
        <v>0.344</v>
      </c>
      <c r="C70" s="202">
        <v>0.344</v>
      </c>
      <c r="D70" s="230"/>
      <c r="E70" s="230"/>
      <c r="F70" s="197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199" t="s">
        <v>7</v>
      </c>
      <c r="B71" s="196">
        <f t="shared" si="0"/>
        <v>0</v>
      </c>
      <c r="C71" s="196">
        <f>C72+C73+C74</f>
        <v>0</v>
      </c>
      <c r="D71" s="196">
        <f>D72+D73+D74</f>
        <v>0</v>
      </c>
      <c r="E71" s="196">
        <f>E72+E73+E74</f>
        <v>0</v>
      </c>
      <c r="F71" s="197">
        <f>F72+F73+F74</f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199" t="s">
        <v>8</v>
      </c>
      <c r="B72" s="196">
        <f t="shared" si="0"/>
        <v>0</v>
      </c>
      <c r="C72" s="196"/>
      <c r="D72" s="196"/>
      <c r="E72" s="196"/>
      <c r="F72" s="20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199" t="s">
        <v>39</v>
      </c>
      <c r="B73" s="196">
        <f>C73+D73+E73+F73</f>
        <v>0</v>
      </c>
      <c r="C73" s="200">
        <v>0</v>
      </c>
      <c r="D73" s="200">
        <v>0</v>
      </c>
      <c r="E73" s="200">
        <v>0</v>
      </c>
      <c r="F73" s="201">
        <v>0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199" t="s">
        <v>9</v>
      </c>
      <c r="B74" s="196">
        <f t="shared" si="0"/>
        <v>0</v>
      </c>
      <c r="C74" s="196"/>
      <c r="D74" s="196"/>
      <c r="E74" s="196"/>
      <c r="F74" s="20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231" t="s">
        <v>16</v>
      </c>
      <c r="B75" s="196">
        <f t="shared" si="0"/>
        <v>630.502</v>
      </c>
      <c r="C75" s="196">
        <f>C76+C77+C79</f>
        <v>0</v>
      </c>
      <c r="D75" s="196">
        <f>D76+D77+D79</f>
        <v>0</v>
      </c>
      <c r="E75" s="196">
        <f>E76+E77+E79</f>
        <v>399.522</v>
      </c>
      <c r="F75" s="197">
        <f>F76+F77+F79</f>
        <v>230.98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199" t="s">
        <v>10</v>
      </c>
      <c r="B76" s="196">
        <f t="shared" si="0"/>
        <v>570.502</v>
      </c>
      <c r="C76" s="196"/>
      <c r="D76" s="196"/>
      <c r="E76" s="196">
        <v>399.522</v>
      </c>
      <c r="F76" s="197">
        <f>170.98-F80</f>
        <v>170.98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198" t="s">
        <v>80</v>
      </c>
      <c r="B77" s="196">
        <f t="shared" si="0"/>
        <v>60</v>
      </c>
      <c r="C77" s="196"/>
      <c r="D77" s="196"/>
      <c r="E77" s="200"/>
      <c r="F77" s="197">
        <v>60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198" t="s">
        <v>26</v>
      </c>
      <c r="B78" s="196">
        <f t="shared" si="0"/>
        <v>0.095</v>
      </c>
      <c r="C78" s="196"/>
      <c r="D78" s="196"/>
      <c r="E78" s="200"/>
      <c r="F78" s="201">
        <v>0.095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199" t="s">
        <v>7</v>
      </c>
      <c r="B79" s="196">
        <f t="shared" si="0"/>
        <v>0</v>
      </c>
      <c r="C79" s="196">
        <f>C80+C81+C82</f>
        <v>0</v>
      </c>
      <c r="D79" s="196">
        <f>D80+D81+D82</f>
        <v>0</v>
      </c>
      <c r="E79" s="196">
        <f>E80+E81+E82</f>
        <v>0</v>
      </c>
      <c r="F79" s="197">
        <f>F80+F81+F82</f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199" t="s">
        <v>8</v>
      </c>
      <c r="B80" s="196">
        <f t="shared" si="0"/>
        <v>0</v>
      </c>
      <c r="C80" s="200"/>
      <c r="D80" s="196"/>
      <c r="E80" s="196"/>
      <c r="F80" s="197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199" t="s">
        <v>39</v>
      </c>
      <c r="B81" s="196">
        <f t="shared" si="0"/>
        <v>0</v>
      </c>
      <c r="C81" s="200">
        <v>0</v>
      </c>
      <c r="D81" s="200">
        <v>0</v>
      </c>
      <c r="E81" s="200">
        <v>0</v>
      </c>
      <c r="F81" s="201"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199" t="s">
        <v>9</v>
      </c>
      <c r="B82" s="196">
        <f t="shared" si="0"/>
        <v>0</v>
      </c>
      <c r="C82" s="200"/>
      <c r="D82" s="196"/>
      <c r="E82" s="196"/>
      <c r="F82" s="197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31" t="s">
        <v>4</v>
      </c>
      <c r="B83" s="196">
        <f t="shared" si="0"/>
        <v>393.769</v>
      </c>
      <c r="C83" s="196">
        <f>C84+C85</f>
        <v>393.769</v>
      </c>
      <c r="D83" s="196"/>
      <c r="E83" s="196"/>
      <c r="F83" s="197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198" t="s">
        <v>21</v>
      </c>
      <c r="B84" s="196">
        <f t="shared" si="0"/>
        <v>393.769</v>
      </c>
      <c r="C84" s="196">
        <v>393.769</v>
      </c>
      <c r="D84" s="196"/>
      <c r="E84" s="196">
        <f>E83-E85</f>
        <v>0</v>
      </c>
      <c r="F84" s="197">
        <f>F83-F85</f>
        <v>0</v>
      </c>
      <c r="G84" s="120"/>
      <c r="H84" s="120"/>
    </row>
    <row r="85" spans="1:8" s="30" customFormat="1" ht="32.25" customHeight="1">
      <c r="A85" s="199" t="s">
        <v>7</v>
      </c>
      <c r="B85" s="196">
        <f t="shared" si="0"/>
        <v>0</v>
      </c>
      <c r="C85" s="196">
        <f>C86+C87+C88</f>
        <v>0</v>
      </c>
      <c r="D85" s="196">
        <f>D86+D87+D88</f>
        <v>0</v>
      </c>
      <c r="E85" s="196">
        <f>E86+E87+E88</f>
        <v>0</v>
      </c>
      <c r="F85" s="197">
        <f>F86+F87+F88</f>
        <v>0</v>
      </c>
      <c r="G85" s="120"/>
      <c r="H85" s="120"/>
    </row>
    <row r="86" spans="1:18" s="3" customFormat="1" ht="32.25" customHeight="1">
      <c r="A86" s="199" t="s">
        <v>8</v>
      </c>
      <c r="B86" s="196">
        <f t="shared" si="0"/>
        <v>0</v>
      </c>
      <c r="C86" s="200"/>
      <c r="D86" s="196"/>
      <c r="E86" s="196"/>
      <c r="F86" s="197"/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199" t="s">
        <v>39</v>
      </c>
      <c r="B87" s="196">
        <f>C87+D87+E87+F87</f>
        <v>0</v>
      </c>
      <c r="C87" s="200">
        <v>0</v>
      </c>
      <c r="D87" s="200">
        <v>0</v>
      </c>
      <c r="E87" s="200">
        <v>0</v>
      </c>
      <c r="F87" s="201">
        <v>0</v>
      </c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199" t="s">
        <v>9</v>
      </c>
      <c r="B88" s="196">
        <f aca="true" t="shared" si="1" ref="B88:B166">C88+D88+E88+F88</f>
        <v>0</v>
      </c>
      <c r="C88" s="200"/>
      <c r="D88" s="196"/>
      <c r="E88" s="196"/>
      <c r="F88" s="197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195" t="s">
        <v>58</v>
      </c>
      <c r="B89" s="196">
        <f t="shared" si="1"/>
        <v>2064.0082</v>
      </c>
      <c r="C89" s="196">
        <f>C90+C91+C93</f>
        <v>1206.596</v>
      </c>
      <c r="D89" s="196">
        <f>D90+D93</f>
        <v>0</v>
      </c>
      <c r="E89" s="196">
        <f>E90+E93</f>
        <v>375.0752</v>
      </c>
      <c r="F89" s="197">
        <f>F90+F91+F93</f>
        <v>482.33700000000005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199" t="s">
        <v>10</v>
      </c>
      <c r="B90" s="196">
        <f t="shared" si="1"/>
        <v>718.6442</v>
      </c>
      <c r="C90" s="196">
        <f>1206.596-C91</f>
        <v>202.53999999999996</v>
      </c>
      <c r="D90" s="196">
        <v>0</v>
      </c>
      <c r="E90" s="196">
        <f>384.908-9.8328</f>
        <v>375.0752</v>
      </c>
      <c r="F90" s="197">
        <v>141.029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198" t="s">
        <v>81</v>
      </c>
      <c r="B91" s="196">
        <f>C91+D91+E91+F91</f>
        <v>1004.056</v>
      </c>
      <c r="C91" s="196">
        <v>1004.056</v>
      </c>
      <c r="D91" s="196"/>
      <c r="E91" s="196"/>
      <c r="F91" s="19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198" t="s">
        <v>26</v>
      </c>
      <c r="B92" s="203">
        <f>C92+D92+E92+F92</f>
        <v>1.564</v>
      </c>
      <c r="C92" s="196">
        <v>1.564</v>
      </c>
      <c r="D92" s="225"/>
      <c r="E92" s="225"/>
      <c r="F92" s="210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199" t="s">
        <v>7</v>
      </c>
      <c r="B93" s="196">
        <f t="shared" si="1"/>
        <v>341.30800000000005</v>
      </c>
      <c r="C93" s="196">
        <f>C94+C95+C96</f>
        <v>0</v>
      </c>
      <c r="D93" s="196">
        <f>D94+D95+D96</f>
        <v>0</v>
      </c>
      <c r="E93" s="196">
        <f>E94+E95+E96</f>
        <v>0</v>
      </c>
      <c r="F93" s="197">
        <f>F94+F95+F96</f>
        <v>341.30800000000005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199" t="s">
        <v>8</v>
      </c>
      <c r="B94" s="196">
        <f t="shared" si="1"/>
        <v>297.571</v>
      </c>
      <c r="C94" s="200"/>
      <c r="D94" s="196"/>
      <c r="E94" s="196"/>
      <c r="F94" s="197">
        <v>297.571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199" t="s">
        <v>39</v>
      </c>
      <c r="B95" s="196">
        <f t="shared" si="1"/>
        <v>0</v>
      </c>
      <c r="C95" s="200">
        <v>0</v>
      </c>
      <c r="D95" s="200">
        <v>0</v>
      </c>
      <c r="E95" s="200">
        <v>0</v>
      </c>
      <c r="F95" s="201">
        <v>0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199" t="s">
        <v>9</v>
      </c>
      <c r="B96" s="196">
        <f t="shared" si="1"/>
        <v>43.737</v>
      </c>
      <c r="C96" s="200"/>
      <c r="D96" s="196"/>
      <c r="E96" s="196"/>
      <c r="F96" s="197">
        <v>43.737</v>
      </c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195" t="s">
        <v>15</v>
      </c>
      <c r="B97" s="196">
        <f t="shared" si="1"/>
        <v>2356.5</v>
      </c>
      <c r="C97" s="196">
        <f>C98+C99</f>
        <v>2342.1</v>
      </c>
      <c r="D97" s="196"/>
      <c r="E97" s="196">
        <f>E98+E99</f>
        <v>0</v>
      </c>
      <c r="F97" s="197">
        <f>F98+F99</f>
        <v>14.4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199" t="s">
        <v>10</v>
      </c>
      <c r="B98" s="196">
        <f t="shared" si="1"/>
        <v>1007.7039999999998</v>
      </c>
      <c r="C98" s="209">
        <f>2342.1-C99</f>
        <v>993.3039999999999</v>
      </c>
      <c r="D98" s="209"/>
      <c r="E98" s="209"/>
      <c r="F98" s="210">
        <v>14.4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198" t="s">
        <v>38</v>
      </c>
      <c r="B99" s="196">
        <f t="shared" si="1"/>
        <v>1348.796</v>
      </c>
      <c r="C99" s="196">
        <v>1348.796</v>
      </c>
      <c r="D99" s="196"/>
      <c r="E99" s="196">
        <f>E101+E100</f>
        <v>0</v>
      </c>
      <c r="F99" s="197">
        <f>F101+F100</f>
        <v>0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198" t="s">
        <v>26</v>
      </c>
      <c r="B100" s="196">
        <f t="shared" si="1"/>
        <v>2.198</v>
      </c>
      <c r="C100" s="196">
        <v>2.198</v>
      </c>
      <c r="D100" s="196"/>
      <c r="E100" s="200"/>
      <c r="F100" s="201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199" t="s">
        <v>7</v>
      </c>
      <c r="B101" s="196">
        <f t="shared" si="1"/>
        <v>0</v>
      </c>
      <c r="C101" s="196">
        <f>C102+C103+C104</f>
        <v>0</v>
      </c>
      <c r="D101" s="196">
        <f>D102+D103+D104</f>
        <v>0</v>
      </c>
      <c r="E101" s="196">
        <f>E102+E103+E104</f>
        <v>0</v>
      </c>
      <c r="F101" s="197">
        <f>F102+F103+F104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199" t="s">
        <v>8</v>
      </c>
      <c r="B102" s="196">
        <f t="shared" si="1"/>
        <v>0</v>
      </c>
      <c r="C102" s="200"/>
      <c r="D102" s="196"/>
      <c r="E102" s="196"/>
      <c r="F102" s="197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199" t="s">
        <v>39</v>
      </c>
      <c r="B103" s="196">
        <f>C103+D103+E103+F103</f>
        <v>0</v>
      </c>
      <c r="C103" s="200">
        <v>0</v>
      </c>
      <c r="D103" s="200">
        <v>0</v>
      </c>
      <c r="E103" s="200">
        <v>0</v>
      </c>
      <c r="F103" s="201"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199" t="s">
        <v>9</v>
      </c>
      <c r="B104" s="196">
        <f t="shared" si="1"/>
        <v>0</v>
      </c>
      <c r="C104" s="200"/>
      <c r="D104" s="196"/>
      <c r="E104" s="196"/>
      <c r="F104" s="19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195" t="s">
        <v>57</v>
      </c>
      <c r="B105" s="196">
        <f t="shared" si="1"/>
        <v>32.564</v>
      </c>
      <c r="C105" s="196">
        <f>C106+C107</f>
        <v>0</v>
      </c>
      <c r="D105" s="196"/>
      <c r="E105" s="196">
        <f>E106+E107</f>
        <v>32.564</v>
      </c>
      <c r="F105" s="197">
        <f>F106+F107</f>
        <v>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199" t="s">
        <v>10</v>
      </c>
      <c r="B106" s="196">
        <f t="shared" si="1"/>
        <v>32.564</v>
      </c>
      <c r="C106" s="209"/>
      <c r="D106" s="209"/>
      <c r="E106" s="209">
        <v>32.564</v>
      </c>
      <c r="F106" s="2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199" t="s">
        <v>7</v>
      </c>
      <c r="B107" s="196">
        <f t="shared" si="1"/>
        <v>0</v>
      </c>
      <c r="C107" s="196">
        <f>C108+C109+C110</f>
        <v>0</v>
      </c>
      <c r="D107" s="196">
        <f>D108+D109+D110</f>
        <v>0</v>
      </c>
      <c r="E107" s="196">
        <f>E108+E109+E110</f>
        <v>0</v>
      </c>
      <c r="F107" s="197">
        <f>F108+F109+F110</f>
        <v>0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199" t="s">
        <v>8</v>
      </c>
      <c r="B108" s="196">
        <f t="shared" si="1"/>
        <v>0</v>
      </c>
      <c r="C108" s="200"/>
      <c r="D108" s="196"/>
      <c r="E108" s="200"/>
      <c r="F108" s="201"/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199" t="s">
        <v>39</v>
      </c>
      <c r="B109" s="196">
        <f t="shared" si="1"/>
        <v>0</v>
      </c>
      <c r="C109" s="200">
        <v>0</v>
      </c>
      <c r="D109" s="200">
        <v>0</v>
      </c>
      <c r="E109" s="200">
        <v>0</v>
      </c>
      <c r="F109" s="201">
        <v>0</v>
      </c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199" t="s">
        <v>9</v>
      </c>
      <c r="B110" s="196">
        <f t="shared" si="1"/>
        <v>0</v>
      </c>
      <c r="C110" s="200"/>
      <c r="D110" s="196"/>
      <c r="E110" s="200"/>
      <c r="F110" s="201"/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195" t="s">
        <v>14</v>
      </c>
      <c r="B111" s="196">
        <f t="shared" si="1"/>
        <v>104.01299999999999</v>
      </c>
      <c r="C111" s="200"/>
      <c r="D111" s="196"/>
      <c r="E111" s="196">
        <f>E112+E113</f>
        <v>0</v>
      </c>
      <c r="F111" s="197">
        <f>F112+F113</f>
        <v>104.01299999999999</v>
      </c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199" t="s">
        <v>10</v>
      </c>
      <c r="B112" s="196">
        <f t="shared" si="1"/>
        <v>0.773</v>
      </c>
      <c r="C112" s="200"/>
      <c r="D112" s="196"/>
      <c r="E112" s="196"/>
      <c r="F112" s="210">
        <v>0.773</v>
      </c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199" t="s">
        <v>7</v>
      </c>
      <c r="B113" s="196">
        <f t="shared" si="1"/>
        <v>103.24</v>
      </c>
      <c r="C113" s="196">
        <f>C114+C115+C116</f>
        <v>0</v>
      </c>
      <c r="D113" s="196">
        <f>D114+D115+D116</f>
        <v>0</v>
      </c>
      <c r="E113" s="196">
        <f>E114+E115+E116</f>
        <v>0</v>
      </c>
      <c r="F113" s="197">
        <f>F114+F115+F116</f>
        <v>103.24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199" t="s">
        <v>8</v>
      </c>
      <c r="B114" s="196">
        <f t="shared" si="1"/>
        <v>103.24</v>
      </c>
      <c r="C114" s="200"/>
      <c r="D114" s="196"/>
      <c r="E114" s="200"/>
      <c r="F114" s="201">
        <v>103.24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199" t="s">
        <v>39</v>
      </c>
      <c r="B115" s="196">
        <f>C115+D115+E115+F115</f>
        <v>0</v>
      </c>
      <c r="C115" s="200">
        <v>0</v>
      </c>
      <c r="D115" s="200">
        <v>0</v>
      </c>
      <c r="E115" s="200">
        <v>0</v>
      </c>
      <c r="F115" s="201">
        <v>0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199" t="s">
        <v>9</v>
      </c>
      <c r="B116" s="196">
        <f t="shared" si="1"/>
        <v>0</v>
      </c>
      <c r="C116" s="200"/>
      <c r="D116" s="196"/>
      <c r="E116" s="200"/>
      <c r="F116" s="201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195" t="s">
        <v>18</v>
      </c>
      <c r="B117" s="196">
        <f t="shared" si="1"/>
        <v>242.253</v>
      </c>
      <c r="C117" s="196">
        <f>C118+C119+C121</f>
        <v>0</v>
      </c>
      <c r="D117" s="196">
        <f>D118+D119+D121</f>
        <v>0</v>
      </c>
      <c r="E117" s="196">
        <f>E118+E119+E121</f>
        <v>14.956</v>
      </c>
      <c r="F117" s="197">
        <f>F118+F119+F121</f>
        <v>227.297</v>
      </c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199" t="s">
        <v>10</v>
      </c>
      <c r="B118" s="196">
        <f t="shared" si="1"/>
        <v>69.051</v>
      </c>
      <c r="C118" s="200"/>
      <c r="D118" s="196"/>
      <c r="E118" s="209">
        <f>14.956-E122</f>
        <v>14.956</v>
      </c>
      <c r="F118" s="210">
        <f>54.095-F122</f>
        <v>54.095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198" t="s">
        <v>82</v>
      </c>
      <c r="B119" s="196">
        <f>C119+D119+E119+F119</f>
        <v>2</v>
      </c>
      <c r="C119" s="196"/>
      <c r="D119" s="196"/>
      <c r="E119" s="200"/>
      <c r="F119" s="201">
        <v>2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198" t="s">
        <v>26</v>
      </c>
      <c r="B120" s="196">
        <f>C120+D120+E120+F120</f>
        <v>0.003</v>
      </c>
      <c r="C120" s="196"/>
      <c r="D120" s="196"/>
      <c r="E120" s="200"/>
      <c r="F120" s="201">
        <v>0.003</v>
      </c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199" t="s">
        <v>7</v>
      </c>
      <c r="B121" s="196">
        <f>C121+D121+E121+F121</f>
        <v>171.202</v>
      </c>
      <c r="C121" s="196">
        <f>C122+C123+C124</f>
        <v>0</v>
      </c>
      <c r="D121" s="196">
        <f>D122+D123+D124</f>
        <v>0</v>
      </c>
      <c r="E121" s="196">
        <f>E122+E123+E124</f>
        <v>0</v>
      </c>
      <c r="F121" s="197">
        <f>F122+F123+F124</f>
        <v>171.202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199" t="s">
        <v>8</v>
      </c>
      <c r="B122" s="196">
        <f>C122+D122+E122+F122</f>
        <v>0</v>
      </c>
      <c r="C122" s="200"/>
      <c r="D122" s="196"/>
      <c r="E122" s="200"/>
      <c r="F122" s="201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199" t="s">
        <v>39</v>
      </c>
      <c r="B123" s="196">
        <f>C123+D123+E123+F123</f>
        <v>0</v>
      </c>
      <c r="C123" s="200">
        <v>0</v>
      </c>
      <c r="D123" s="200">
        <v>0</v>
      </c>
      <c r="E123" s="200">
        <v>0</v>
      </c>
      <c r="F123" s="201">
        <v>0</v>
      </c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199" t="s">
        <v>9</v>
      </c>
      <c r="B124" s="196">
        <f t="shared" si="1"/>
        <v>171.202</v>
      </c>
      <c r="C124" s="200"/>
      <c r="D124" s="196"/>
      <c r="E124" s="196"/>
      <c r="F124" s="197">
        <v>171.202</v>
      </c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195" t="s">
        <v>13</v>
      </c>
      <c r="B125" s="196">
        <f t="shared" si="1"/>
        <v>508.554</v>
      </c>
      <c r="C125" s="196">
        <f>C126+C127</f>
        <v>0</v>
      </c>
      <c r="D125" s="196"/>
      <c r="E125" s="196">
        <f>E126+E127</f>
        <v>508.554</v>
      </c>
      <c r="F125" s="197">
        <f>F126+F127</f>
        <v>0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199" t="s">
        <v>10</v>
      </c>
      <c r="B126" s="196">
        <f t="shared" si="1"/>
        <v>508.554</v>
      </c>
      <c r="C126" s="209"/>
      <c r="D126" s="209"/>
      <c r="E126" s="209">
        <v>508.554</v>
      </c>
      <c r="F126" s="210"/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199" t="s">
        <v>7</v>
      </c>
      <c r="B127" s="196">
        <f t="shared" si="1"/>
        <v>0</v>
      </c>
      <c r="C127" s="196">
        <f>C128+C129+C130</f>
        <v>0</v>
      </c>
      <c r="D127" s="196">
        <f>D128+D129+D130</f>
        <v>0</v>
      </c>
      <c r="E127" s="196">
        <f>E128+E129+E130</f>
        <v>0</v>
      </c>
      <c r="F127" s="197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199" t="s">
        <v>8</v>
      </c>
      <c r="B128" s="196">
        <f t="shared" si="1"/>
        <v>0</v>
      </c>
      <c r="C128" s="200"/>
      <c r="D128" s="196"/>
      <c r="E128" s="200"/>
      <c r="F128" s="201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199" t="s">
        <v>39</v>
      </c>
      <c r="B129" s="196">
        <f t="shared" si="1"/>
        <v>0</v>
      </c>
      <c r="C129" s="200">
        <v>0</v>
      </c>
      <c r="D129" s="200">
        <v>0</v>
      </c>
      <c r="E129" s="200">
        <v>0</v>
      </c>
      <c r="F129" s="201">
        <v>0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199" t="s">
        <v>9</v>
      </c>
      <c r="B130" s="196">
        <f t="shared" si="1"/>
        <v>0</v>
      </c>
      <c r="C130" s="200"/>
      <c r="D130" s="196"/>
      <c r="E130" s="200"/>
      <c r="F130" s="201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195" t="s">
        <v>62</v>
      </c>
      <c r="B131" s="196">
        <f t="shared" si="1"/>
        <v>9.8328</v>
      </c>
      <c r="C131" s="200"/>
      <c r="D131" s="196"/>
      <c r="E131" s="196">
        <f>E132+E133</f>
        <v>0</v>
      </c>
      <c r="F131" s="197">
        <f>F132+F133</f>
        <v>9.8328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199" t="s">
        <v>10</v>
      </c>
      <c r="B132" s="196">
        <f t="shared" si="1"/>
        <v>9.8328</v>
      </c>
      <c r="C132" s="200"/>
      <c r="D132" s="196"/>
      <c r="E132" s="196"/>
      <c r="F132" s="210">
        <v>9.8328</v>
      </c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199" t="s">
        <v>7</v>
      </c>
      <c r="B133" s="196">
        <f t="shared" si="1"/>
        <v>0</v>
      </c>
      <c r="C133" s="196">
        <f>C134+C135+C136</f>
        <v>0</v>
      </c>
      <c r="D133" s="196">
        <f>D134+D135+D136</f>
        <v>0</v>
      </c>
      <c r="E133" s="196">
        <f>E134+E135+E136</f>
        <v>0</v>
      </c>
      <c r="F133" s="197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199" t="s">
        <v>8</v>
      </c>
      <c r="B134" s="196">
        <f t="shared" si="1"/>
        <v>0</v>
      </c>
      <c r="C134" s="200"/>
      <c r="D134" s="196"/>
      <c r="E134" s="200"/>
      <c r="F134" s="201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199" t="s">
        <v>39</v>
      </c>
      <c r="B135" s="196">
        <f>C135+D135+E135+F135</f>
        <v>0</v>
      </c>
      <c r="C135" s="200">
        <v>0</v>
      </c>
      <c r="D135" s="200">
        <v>0</v>
      </c>
      <c r="E135" s="200">
        <v>0</v>
      </c>
      <c r="F135" s="201">
        <v>0</v>
      </c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199" t="s">
        <v>9</v>
      </c>
      <c r="B136" s="196">
        <f t="shared" si="1"/>
        <v>0</v>
      </c>
      <c r="C136" s="200"/>
      <c r="D136" s="196"/>
      <c r="E136" s="200"/>
      <c r="F136" s="201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195" t="s">
        <v>83</v>
      </c>
      <c r="B137" s="196">
        <f t="shared" si="1"/>
        <v>525</v>
      </c>
      <c r="C137" s="196">
        <f>C138+C139</f>
        <v>430</v>
      </c>
      <c r="D137" s="196">
        <f>D138+D139</f>
        <v>0</v>
      </c>
      <c r="E137" s="196">
        <f>E138+E139</f>
        <v>95</v>
      </c>
      <c r="F137" s="19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199" t="s">
        <v>10</v>
      </c>
      <c r="B138" s="196">
        <f t="shared" si="1"/>
        <v>525</v>
      </c>
      <c r="C138" s="196">
        <v>430</v>
      </c>
      <c r="D138" s="196"/>
      <c r="E138" s="196">
        <v>95</v>
      </c>
      <c r="F138" s="210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199" t="s">
        <v>7</v>
      </c>
      <c r="B139" s="196">
        <f t="shared" si="1"/>
        <v>0</v>
      </c>
      <c r="C139" s="196">
        <f>C140+C141+C142</f>
        <v>0</v>
      </c>
      <c r="D139" s="196">
        <f>D140+D141+D142</f>
        <v>0</v>
      </c>
      <c r="E139" s="196">
        <f>E140+E141+E142</f>
        <v>0</v>
      </c>
      <c r="F139" s="197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199" t="s">
        <v>8</v>
      </c>
      <c r="B140" s="196">
        <f t="shared" si="1"/>
        <v>0</v>
      </c>
      <c r="C140" s="200"/>
      <c r="D140" s="196"/>
      <c r="E140" s="196"/>
      <c r="F140" s="19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199" t="s">
        <v>39</v>
      </c>
      <c r="B141" s="196">
        <f>C141+D141+E141+F141</f>
        <v>0</v>
      </c>
      <c r="C141" s="200">
        <v>0</v>
      </c>
      <c r="D141" s="200">
        <v>0</v>
      </c>
      <c r="E141" s="200">
        <v>0</v>
      </c>
      <c r="F141" s="201">
        <v>0</v>
      </c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199" t="s">
        <v>9</v>
      </c>
      <c r="B142" s="196">
        <f t="shared" si="1"/>
        <v>0</v>
      </c>
      <c r="C142" s="200"/>
      <c r="D142" s="196"/>
      <c r="E142" s="196"/>
      <c r="F142" s="19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195" t="s">
        <v>56</v>
      </c>
      <c r="B143" s="196">
        <f t="shared" si="1"/>
        <v>319.403</v>
      </c>
      <c r="C143" s="196"/>
      <c r="D143" s="196"/>
      <c r="E143" s="196">
        <f>E144+E145</f>
        <v>319.403</v>
      </c>
      <c r="F143" s="197">
        <f>F144+F145</f>
        <v>0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199" t="s">
        <v>10</v>
      </c>
      <c r="B144" s="196">
        <f t="shared" si="1"/>
        <v>212.403</v>
      </c>
      <c r="C144" s="196"/>
      <c r="D144" s="196"/>
      <c r="E144" s="196">
        <v>212.403</v>
      </c>
      <c r="F144" s="197"/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199" t="s">
        <v>7</v>
      </c>
      <c r="B145" s="196">
        <f t="shared" si="1"/>
        <v>107</v>
      </c>
      <c r="C145" s="196">
        <f>C146+C147+C148</f>
        <v>0</v>
      </c>
      <c r="D145" s="196">
        <f>D146+D147+D148</f>
        <v>0</v>
      </c>
      <c r="E145" s="196">
        <f>E146+E147+E148</f>
        <v>107</v>
      </c>
      <c r="F145" s="197">
        <f>F146+F147+F148</f>
        <v>0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199" t="s">
        <v>8</v>
      </c>
      <c r="B146" s="196">
        <f t="shared" si="1"/>
        <v>107</v>
      </c>
      <c r="C146" s="196"/>
      <c r="D146" s="196"/>
      <c r="E146" s="200">
        <v>107</v>
      </c>
      <c r="F146" s="201"/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199" t="s">
        <v>39</v>
      </c>
      <c r="B147" s="196">
        <f t="shared" si="1"/>
        <v>0</v>
      </c>
      <c r="C147" s="200">
        <v>0</v>
      </c>
      <c r="D147" s="200">
        <v>0</v>
      </c>
      <c r="E147" s="200">
        <v>0</v>
      </c>
      <c r="F147" s="201">
        <v>0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199" t="s">
        <v>9</v>
      </c>
      <c r="B148" s="196">
        <f t="shared" si="1"/>
        <v>0</v>
      </c>
      <c r="C148" s="196"/>
      <c r="D148" s="196"/>
      <c r="E148" s="200"/>
      <c r="F148" s="201"/>
      <c r="G148" s="120"/>
      <c r="H148" s="120"/>
    </row>
    <row r="149" spans="1:8" s="30" customFormat="1" ht="32.25" customHeight="1">
      <c r="A149" s="195" t="s">
        <v>6</v>
      </c>
      <c r="B149" s="196">
        <f t="shared" si="1"/>
        <v>1732.85</v>
      </c>
      <c r="C149" s="196"/>
      <c r="D149" s="196"/>
      <c r="E149" s="196">
        <f>E150+E151</f>
        <v>798.162</v>
      </c>
      <c r="F149" s="197">
        <f>F150+F151</f>
        <v>934.688</v>
      </c>
      <c r="G149" s="120"/>
      <c r="H149" s="120"/>
    </row>
    <row r="150" spans="1:18" s="3" customFormat="1" ht="32.25" customHeight="1">
      <c r="A150" s="199" t="s">
        <v>10</v>
      </c>
      <c r="B150" s="196">
        <f t="shared" si="1"/>
        <v>828.223</v>
      </c>
      <c r="C150" s="196"/>
      <c r="D150" s="196"/>
      <c r="E150" s="196">
        <v>573.102</v>
      </c>
      <c r="F150" s="197">
        <v>255.121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199" t="s">
        <v>7</v>
      </c>
      <c r="B151" s="196">
        <f t="shared" si="1"/>
        <v>904.627</v>
      </c>
      <c r="C151" s="196">
        <f>C152+C153+C154</f>
        <v>0</v>
      </c>
      <c r="D151" s="196">
        <f>D152+D153+D154</f>
        <v>0</v>
      </c>
      <c r="E151" s="196">
        <f>E152+E153+E154</f>
        <v>225.06</v>
      </c>
      <c r="F151" s="197">
        <f>F152+F153+F154</f>
        <v>679.567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199" t="s">
        <v>8</v>
      </c>
      <c r="B152" s="196">
        <f t="shared" si="1"/>
        <v>712.664</v>
      </c>
      <c r="C152" s="196"/>
      <c r="D152" s="196"/>
      <c r="E152" s="200">
        <f>244.924-30</f>
        <v>214.924</v>
      </c>
      <c r="F152" s="201">
        <v>497.74</v>
      </c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199" t="s">
        <v>39</v>
      </c>
      <c r="B153" s="196">
        <f t="shared" si="1"/>
        <v>71.9</v>
      </c>
      <c r="C153" s="196"/>
      <c r="D153" s="196"/>
      <c r="E153" s="200">
        <v>7.76</v>
      </c>
      <c r="F153" s="201">
        <v>64.14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199" t="s">
        <v>9</v>
      </c>
      <c r="B154" s="196">
        <f t="shared" si="1"/>
        <v>120.063</v>
      </c>
      <c r="C154" s="196"/>
      <c r="D154" s="196"/>
      <c r="E154" s="200">
        <v>2.376</v>
      </c>
      <c r="F154" s="201">
        <v>117.687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195" t="s">
        <v>5</v>
      </c>
      <c r="B155" s="196">
        <f t="shared" si="1"/>
        <v>3585.9559999999997</v>
      </c>
      <c r="C155" s="196">
        <f>C156+C157+C159</f>
        <v>366.448</v>
      </c>
      <c r="D155" s="196"/>
      <c r="E155" s="196">
        <f>E156+E157+E159</f>
        <v>2093.102</v>
      </c>
      <c r="F155" s="197">
        <f>F156+F157+F159</f>
        <v>1126.406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199" t="s">
        <v>10</v>
      </c>
      <c r="B156" s="196">
        <f t="shared" si="1"/>
        <v>1916.218</v>
      </c>
      <c r="C156" s="196"/>
      <c r="D156" s="196"/>
      <c r="E156" s="196">
        <v>1700.247</v>
      </c>
      <c r="F156" s="197">
        <v>215.971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198" t="s">
        <v>50</v>
      </c>
      <c r="B157" s="196">
        <f t="shared" si="1"/>
        <v>366.448</v>
      </c>
      <c r="C157" s="257">
        <v>366.448</v>
      </c>
      <c r="D157" s="196"/>
      <c r="E157" s="196"/>
      <c r="F157" s="19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198" t="s">
        <v>26</v>
      </c>
      <c r="B158" s="203">
        <f t="shared" si="1"/>
        <v>0.564</v>
      </c>
      <c r="C158" s="257">
        <v>0.564</v>
      </c>
      <c r="D158" s="225"/>
      <c r="E158" s="225"/>
      <c r="F158" s="210"/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199" t="s">
        <v>7</v>
      </c>
      <c r="B159" s="196">
        <f t="shared" si="1"/>
        <v>1303.29</v>
      </c>
      <c r="C159" s="196">
        <f>C160+C161+C162</f>
        <v>0</v>
      </c>
      <c r="D159" s="196">
        <f>D160+D161+D162</f>
        <v>0</v>
      </c>
      <c r="E159" s="196">
        <f>E160+E161+E162</f>
        <v>392.855</v>
      </c>
      <c r="F159" s="197">
        <f>F160+F161+F162</f>
        <v>910.435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199" t="s">
        <v>8</v>
      </c>
      <c r="B160" s="196">
        <f t="shared" si="1"/>
        <v>985.192</v>
      </c>
      <c r="C160" s="196"/>
      <c r="D160" s="196"/>
      <c r="E160" s="200">
        <f>252.164-36.664</f>
        <v>215.5</v>
      </c>
      <c r="F160" s="201">
        <v>769.692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199" t="s">
        <v>39</v>
      </c>
      <c r="B161" s="196">
        <f t="shared" si="1"/>
        <v>299.323</v>
      </c>
      <c r="C161" s="200"/>
      <c r="D161" s="200"/>
      <c r="E161" s="200">
        <v>158.58</v>
      </c>
      <c r="F161" s="201">
        <v>140.743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>
      <c r="A162" s="199" t="s">
        <v>9</v>
      </c>
      <c r="B162" s="196">
        <f t="shared" si="1"/>
        <v>18.775</v>
      </c>
      <c r="C162" s="200"/>
      <c r="D162" s="200"/>
      <c r="E162" s="200">
        <v>18.775</v>
      </c>
      <c r="F162" s="201">
        <v>0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>
      <c r="A163" s="195" t="s">
        <v>17</v>
      </c>
      <c r="B163" s="196">
        <f t="shared" si="1"/>
        <v>6713.056</v>
      </c>
      <c r="C163" s="196"/>
      <c r="D163" s="196"/>
      <c r="E163" s="196">
        <f>E164+E165</f>
        <v>1463.012</v>
      </c>
      <c r="F163" s="197">
        <f>F164+F165</f>
        <v>5250.044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199" t="s">
        <v>10</v>
      </c>
      <c r="B164" s="196">
        <f t="shared" si="1"/>
        <v>2942.8239999999996</v>
      </c>
      <c r="C164" s="196"/>
      <c r="D164" s="196"/>
      <c r="E164" s="196">
        <v>1430.05</v>
      </c>
      <c r="F164" s="197">
        <v>1512.774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199" t="s">
        <v>7</v>
      </c>
      <c r="B165" s="196">
        <f t="shared" si="1"/>
        <v>3770.232</v>
      </c>
      <c r="C165" s="196">
        <f>C166+C167+C168</f>
        <v>0</v>
      </c>
      <c r="D165" s="196">
        <f>D166+D167+D168</f>
        <v>0</v>
      </c>
      <c r="E165" s="196">
        <f>E166+E167+E168</f>
        <v>32.962</v>
      </c>
      <c r="F165" s="197">
        <f>F166+F167+F168</f>
        <v>3737.27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199" t="s">
        <v>8</v>
      </c>
      <c r="B166" s="196">
        <f t="shared" si="1"/>
        <v>414.18</v>
      </c>
      <c r="C166" s="200"/>
      <c r="D166" s="196"/>
      <c r="E166" s="200">
        <v>18.625</v>
      </c>
      <c r="F166" s="201">
        <v>395.555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99" t="s">
        <v>39</v>
      </c>
      <c r="B167" s="196">
        <f aca="true" t="shared" si="2" ref="B167:B183">C167+D167+E167+F167</f>
        <v>0</v>
      </c>
      <c r="C167" s="200">
        <v>0</v>
      </c>
      <c r="D167" s="200">
        <v>0</v>
      </c>
      <c r="E167" s="200">
        <v>0</v>
      </c>
      <c r="F167" s="201"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 thickBot="1">
      <c r="A168" s="211" t="s">
        <v>9</v>
      </c>
      <c r="B168" s="212">
        <f t="shared" si="2"/>
        <v>3356.052</v>
      </c>
      <c r="C168" s="213"/>
      <c r="D168" s="212"/>
      <c r="E168" s="213">
        <v>14.337</v>
      </c>
      <c r="F168" s="214">
        <v>3341.715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 thickBot="1">
      <c r="A169" s="233" t="s">
        <v>10</v>
      </c>
      <c r="B169" s="234">
        <f t="shared" si="2"/>
        <v>89070.61399999999</v>
      </c>
      <c r="C169" s="235">
        <f>C170+C171+C175</f>
        <v>40348.42600000001</v>
      </c>
      <c r="D169" s="235">
        <f>D170+D171+D175</f>
        <v>2430.3100000000004</v>
      </c>
      <c r="E169" s="235">
        <f>E170+E171+E175</f>
        <v>30652.06419999999</v>
      </c>
      <c r="F169" s="236">
        <f>F170+F171+F175</f>
        <v>15639.813799999989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>
      <c r="A170" s="215" t="s">
        <v>40</v>
      </c>
      <c r="B170" s="216">
        <f t="shared" si="2"/>
        <v>70688.50499999998</v>
      </c>
      <c r="C170" s="217">
        <f>C9+C24+C32+C40+C48+C56+C62+C68+C76+C84+C90+C98+C106+C112+C118+C126+C132+C138+C144+C150+C156+C164</f>
        <v>27579.014</v>
      </c>
      <c r="D170" s="217">
        <f>D9+D24+D32+D40+D48+D56+D62+D68+D76+D84+D90+D98+D106+D112+D118+D126+D132+D138+D144+D150+D156+D164</f>
        <v>1917.4470000000001</v>
      </c>
      <c r="E170" s="217">
        <f>E9+E24+E32+E40+E48+E56+E62+E68+E76+E84+E90+E98+E106+E112+E118+E126+E132+E138+E144+E150+E156+E164</f>
        <v>25691.73719999999</v>
      </c>
      <c r="F170" s="218">
        <f>F9+F24+F32+F40+F48+F56+F62+F68+F76+F84+F90+F98+F106+F112+F118+F126+F132+F138+F144+F150+F156+F164</f>
        <v>15500.30679999999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>
      <c r="A171" s="215" t="s">
        <v>42</v>
      </c>
      <c r="B171" s="237">
        <f t="shared" si="2"/>
        <v>17141.504000000004</v>
      </c>
      <c r="C171" s="196">
        <f aca="true" t="shared" si="3" ref="C171:F172">C10+C25+C33+C41+C49+C77+C69+C99+C91+C119+C157</f>
        <v>11528.807000000003</v>
      </c>
      <c r="D171" s="196">
        <f t="shared" si="3"/>
        <v>512.863</v>
      </c>
      <c r="E171" s="196">
        <f t="shared" si="3"/>
        <v>4960.327</v>
      </c>
      <c r="F171" s="197">
        <f t="shared" si="3"/>
        <v>139.507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215" t="s">
        <v>41</v>
      </c>
      <c r="B172" s="237">
        <f t="shared" si="2"/>
        <v>33.812000000000005</v>
      </c>
      <c r="C172" s="196">
        <f t="shared" si="3"/>
        <v>22.544000000000004</v>
      </c>
      <c r="D172" s="196">
        <f t="shared" si="3"/>
        <v>1.544</v>
      </c>
      <c r="E172" s="196">
        <f t="shared" si="3"/>
        <v>9.351</v>
      </c>
      <c r="F172" s="197">
        <f t="shared" si="3"/>
        <v>0.373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99" t="s">
        <v>45</v>
      </c>
      <c r="B173" s="237">
        <f t="shared" si="2"/>
        <v>3577.07</v>
      </c>
      <c r="C173" s="196">
        <f>C16</f>
        <v>3577.07</v>
      </c>
      <c r="D173" s="196">
        <f>D16</f>
        <v>0</v>
      </c>
      <c r="E173" s="196">
        <f>E16</f>
        <v>0</v>
      </c>
      <c r="F173" s="197">
        <f>F16</f>
        <v>0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>
      <c r="A174" s="215" t="s">
        <v>46</v>
      </c>
      <c r="B174" s="237">
        <f t="shared" si="2"/>
        <v>6.896</v>
      </c>
      <c r="C174" s="196">
        <f>C18</f>
        <v>6.896</v>
      </c>
      <c r="D174" s="196">
        <f>D18</f>
        <v>0</v>
      </c>
      <c r="E174" s="196">
        <f>E18</f>
        <v>0</v>
      </c>
      <c r="F174" s="197">
        <f>F18</f>
        <v>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3.25">
      <c r="A175" s="238" t="s">
        <v>22</v>
      </c>
      <c r="B175" s="237">
        <f t="shared" si="2"/>
        <v>1240.605</v>
      </c>
      <c r="C175" s="196">
        <f>C7</f>
        <v>1240.605</v>
      </c>
      <c r="D175" s="196"/>
      <c r="E175" s="196"/>
      <c r="F175" s="197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 thickBot="1">
      <c r="A176" s="238" t="s">
        <v>23</v>
      </c>
      <c r="B176" s="239">
        <f t="shared" si="2"/>
        <v>3.358</v>
      </c>
      <c r="C176" s="212">
        <f>C8</f>
        <v>3.358</v>
      </c>
      <c r="D176" s="212"/>
      <c r="E176" s="212"/>
      <c r="F176" s="240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233" t="s">
        <v>11</v>
      </c>
      <c r="B177" s="241">
        <f t="shared" si="2"/>
        <v>30915.842</v>
      </c>
      <c r="C177" s="242">
        <f>C178+C179+C180</f>
        <v>131.35299999999998</v>
      </c>
      <c r="D177" s="242">
        <f>D178+D179+D180</f>
        <v>1.58</v>
      </c>
      <c r="E177" s="242">
        <f>E178+E179+E180</f>
        <v>1745.127</v>
      </c>
      <c r="F177" s="243">
        <f>F178+F179+F180</f>
        <v>29037.782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>
      <c r="A178" s="244" t="s">
        <v>8</v>
      </c>
      <c r="B178" s="216">
        <f t="shared" si="2"/>
        <v>11991.76</v>
      </c>
      <c r="C178" s="217">
        <f aca="true" t="shared" si="4" ref="C178:F180">C13+C20+C28+C36+C44+C52+C58+C64+C72+C80+C86+C94+C102+C108+C114+C122+C128+C134+C140+C146+C152+C160+C166</f>
        <v>0.843</v>
      </c>
      <c r="D178" s="217">
        <f t="shared" si="4"/>
        <v>0</v>
      </c>
      <c r="E178" s="217">
        <f t="shared" si="4"/>
        <v>1035.324</v>
      </c>
      <c r="F178" s="218">
        <f t="shared" si="4"/>
        <v>10955.593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3.25">
      <c r="A179" s="245" t="s">
        <v>39</v>
      </c>
      <c r="B179" s="237">
        <f>C179+D179+E179+F179</f>
        <v>539.417</v>
      </c>
      <c r="C179" s="196">
        <f t="shared" si="4"/>
        <v>0</v>
      </c>
      <c r="D179" s="196">
        <f t="shared" si="4"/>
        <v>0</v>
      </c>
      <c r="E179" s="196">
        <f t="shared" si="4"/>
        <v>166.34</v>
      </c>
      <c r="F179" s="197">
        <f t="shared" si="4"/>
        <v>373.077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246" t="s">
        <v>9</v>
      </c>
      <c r="B180" s="239">
        <f>C180+D180+E180+F180</f>
        <v>18384.664999999997</v>
      </c>
      <c r="C180" s="212">
        <f>C15+C22+C30+C38+C46+C54+C60+C66+C74+C82+C88+C96+C104+C110+C116+C124+C130+C136+C142+C148+C154+C162+C168</f>
        <v>130.51</v>
      </c>
      <c r="D180" s="212">
        <f t="shared" si="4"/>
        <v>1.58</v>
      </c>
      <c r="E180" s="212">
        <f t="shared" si="4"/>
        <v>543.463</v>
      </c>
      <c r="F180" s="240">
        <f t="shared" si="4"/>
        <v>17709.111999999997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247" t="s">
        <v>28</v>
      </c>
      <c r="B181" s="258">
        <f t="shared" si="2"/>
        <v>44.065999999999995</v>
      </c>
      <c r="C181" s="259">
        <f>C182+C183</f>
        <v>32.798</v>
      </c>
      <c r="D181" s="259">
        <f>D182+D183</f>
        <v>1.544</v>
      </c>
      <c r="E181" s="259">
        <f>E182+E183</f>
        <v>9.351</v>
      </c>
      <c r="F181" s="260">
        <f>F182+F183</f>
        <v>0.373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3.25">
      <c r="A182" s="251" t="s">
        <v>29</v>
      </c>
      <c r="B182" s="216">
        <f t="shared" si="2"/>
        <v>40.708000000000006</v>
      </c>
      <c r="C182" s="217">
        <f>C11+C18+C26+C34+C42+C50+C78+C70+C92+C100+C120+C158</f>
        <v>29.440000000000005</v>
      </c>
      <c r="D182" s="217">
        <f>D11+D18+D26+D34+D42+D50+D78+D70+D92+D100+D120+D158</f>
        <v>1.544</v>
      </c>
      <c r="E182" s="217">
        <f>E11+E18+E26+E34+E42+E50+E78+E70+E92+E100+E120+E158</f>
        <v>9.351</v>
      </c>
      <c r="F182" s="218">
        <f>F11+F18+F26+F34+F42+F50+F78+F70+F92+F100+F120+F158</f>
        <v>0.373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4" thickBot="1">
      <c r="A183" s="252" t="s">
        <v>37</v>
      </c>
      <c r="B183" s="239">
        <f t="shared" si="2"/>
        <v>3.358</v>
      </c>
      <c r="C183" s="212">
        <f>C8</f>
        <v>3.358</v>
      </c>
      <c r="D183" s="212">
        <f>D8</f>
        <v>0</v>
      </c>
      <c r="E183" s="212">
        <f>E8</f>
        <v>0</v>
      </c>
      <c r="F183" s="240">
        <f>F8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261"/>
      <c r="B184" s="254"/>
      <c r="C184" s="254"/>
      <c r="D184" s="254"/>
      <c r="E184" s="254"/>
      <c r="F184" s="2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262" t="s">
        <v>51</v>
      </c>
      <c r="B185" s="248">
        <f>C185+D185+E185+F185</f>
        <v>76928.286</v>
      </c>
      <c r="C185" s="250">
        <f>C5</f>
        <v>24489.014000000003</v>
      </c>
      <c r="D185" s="250">
        <f>D5</f>
        <v>1869.22</v>
      </c>
      <c r="E185" s="250">
        <f>E5</f>
        <v>21357.599</v>
      </c>
      <c r="F185" s="250">
        <f>F5</f>
        <v>29212.452999999994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4" thickBot="1">
      <c r="A186" s="262" t="s">
        <v>53</v>
      </c>
      <c r="B186" s="248">
        <f>C186+D186+E186+F186</f>
        <v>3577.07</v>
      </c>
      <c r="C186" s="236">
        <f>C16</f>
        <v>3577.07</v>
      </c>
      <c r="D186" s="236">
        <f>D16</f>
        <v>0</v>
      </c>
      <c r="E186" s="236">
        <f>E16</f>
        <v>0</v>
      </c>
      <c r="F186" s="236">
        <f>F16</f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4" thickBot="1">
      <c r="A187" s="262" t="s">
        <v>52</v>
      </c>
      <c r="B187" s="248">
        <f>C187+D187+E187+F187</f>
        <v>43058.17</v>
      </c>
      <c r="C187" s="236">
        <f>C23+C31+C39+C47+C55+C61+C67+C75+C83+C89+C97+C105+C111+C117+C125+C131+C137+C143+C149+C155+C163</f>
        <v>15990.765</v>
      </c>
      <c r="D187" s="236">
        <f>D23+D31+D39+D47+D55+D61+D67+D75+D83+D89+D97+D105+D111+D117+D125+D131+D137+D143+D149+D155+D163</f>
        <v>562.67</v>
      </c>
      <c r="E187" s="236">
        <f>E23+E31+E39+E47+E55+E61+E67+E75+E83+E89+E97+E105+E111+E117+E125+E131+E137+E143+E149+E155+E163</f>
        <v>11039.592200000001</v>
      </c>
      <c r="F187" s="236">
        <f>F23+F31+F39+F47+F55+F61+F67+F75+F83+F89+F97+F105+F111+F117+F125+F131+F137+F143+F149+F155+F163</f>
        <v>15465.1428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4" thickBot="1">
      <c r="A188" s="261"/>
      <c r="B188" s="256">
        <f>C188+D188+E188+F188</f>
        <v>123563.526</v>
      </c>
      <c r="C188" s="248">
        <f>SUM(C185:C187)</f>
        <v>44056.849</v>
      </c>
      <c r="D188" s="248">
        <f>SUM(D185:D187)</f>
        <v>2431.89</v>
      </c>
      <c r="E188" s="248">
        <f>SUM(E185:E187)</f>
        <v>32397.1912</v>
      </c>
      <c r="F188" s="248">
        <f>SUM(F185:F187)</f>
        <v>44677.595799999996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261"/>
      <c r="B189" s="254">
        <f>B188-B191</f>
        <v>0</v>
      </c>
      <c r="C189" s="254">
        <f>C188-C191</f>
        <v>0</v>
      </c>
      <c r="D189" s="254">
        <f>D188-D191</f>
        <v>0</v>
      </c>
      <c r="E189" s="254">
        <f>E188-E191</f>
        <v>0</v>
      </c>
      <c r="F189" s="254">
        <f>F188-F191</f>
        <v>0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4" thickBot="1">
      <c r="A190" s="253"/>
      <c r="B190" s="254"/>
      <c r="C190" s="254"/>
      <c r="D190" s="254"/>
      <c r="E190" s="254"/>
      <c r="F190" s="2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4" thickBot="1">
      <c r="A191" s="262" t="s">
        <v>67</v>
      </c>
      <c r="B191" s="248">
        <f>C191+D191+E191+F191</f>
        <v>123563.526</v>
      </c>
      <c r="C191" s="250">
        <f>C5+C16+C23+C31+C39+C47+C55+C61+C67+C75+C83+C89+C97+C105+C111+C117+C125+C131+C137+C143+C149+C155+C163</f>
        <v>44056.848999999995</v>
      </c>
      <c r="D191" s="250">
        <f>D5+D16+D23+D31+D39+D47+D55+D61+D67+D75+D83+D89+D97+D105+D111+D117+D125+D131+D137+D143+D149+D155+D163</f>
        <v>2431.89</v>
      </c>
      <c r="E191" s="250">
        <f>E5+E16+E23+E31+E39+E47+E55+E61+E67+E75+E83+E89+E97+E105+E111+E117+E125+E131+E137+E143+E149+E155+E163</f>
        <v>32397.19119999999</v>
      </c>
      <c r="F191" s="250">
        <f>F5+F16+F23+F31+F39+F47+F55+F61+F67+F75+F83+F89+F97+F105+F111+F117+F125+F131+F137+F143+F149+F155+F163</f>
        <v>44677.59580000001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tabSelected="1" zoomScale="60" zoomScaleNormal="60" workbookViewId="0" topLeftCell="A1">
      <pane xSplit="1" ySplit="3" topLeftCell="B15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89" sqref="B189:F189"/>
    </sheetView>
  </sheetViews>
  <sheetFormatPr defaultColWidth="9.00390625" defaultRowHeight="12.75"/>
  <cols>
    <col min="1" max="1" width="67.875" style="172" customWidth="1"/>
    <col min="2" max="6" width="25.25390625" style="172" customWidth="1"/>
    <col min="7" max="7" width="20.875" style="56" customWidth="1"/>
    <col min="8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9" t="s">
        <v>98</v>
      </c>
      <c r="B2" s="280"/>
      <c r="C2" s="280"/>
      <c r="D2" s="280"/>
      <c r="E2" s="280"/>
      <c r="F2" s="280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219" t="s">
        <v>97</v>
      </c>
      <c r="B4" s="220"/>
      <c r="C4" s="221" t="s">
        <v>0</v>
      </c>
      <c r="D4" s="221" t="s">
        <v>1</v>
      </c>
      <c r="E4" s="221" t="s">
        <v>2</v>
      </c>
      <c r="F4" s="22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223" t="s">
        <v>20</v>
      </c>
      <c r="B5" s="217">
        <f>C5+D5+E5+F5</f>
        <v>80997.53000000001</v>
      </c>
      <c r="C5" s="217">
        <f>C7+C9+C10+C12</f>
        <v>25824.227000000006</v>
      </c>
      <c r="D5" s="217">
        <f>D7+D9+D10+D12</f>
        <v>1949.093</v>
      </c>
      <c r="E5" s="217">
        <f>E7+E9+E10+E12</f>
        <v>23610.431000000004</v>
      </c>
      <c r="F5" s="218">
        <f>F7+F9+F10+F12</f>
        <v>29613.779000000002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195" t="s">
        <v>27</v>
      </c>
      <c r="B6" s="196">
        <f>C6+D6+E6+F6</f>
        <v>27.104999999999993</v>
      </c>
      <c r="C6" s="196">
        <f>C8+C11</f>
        <v>15.145999999999995</v>
      </c>
      <c r="D6" s="196">
        <f>D8+D11</f>
        <v>1.515</v>
      </c>
      <c r="E6" s="196">
        <f>E8+E11</f>
        <v>10.209999999999999</v>
      </c>
      <c r="F6" s="197">
        <f>F8+F11</f>
        <v>0.23399999999999996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195" t="s">
        <v>22</v>
      </c>
      <c r="B7" s="196">
        <f>C7+D7+E7+F7</f>
        <v>1328.365</v>
      </c>
      <c r="C7" s="196">
        <v>1328.365</v>
      </c>
      <c r="D7" s="196"/>
      <c r="E7" s="196"/>
      <c r="F7" s="197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195" t="s">
        <v>23</v>
      </c>
      <c r="B8" s="196">
        <f>C8+D8+E8+F8</f>
        <v>3.135</v>
      </c>
      <c r="C8" s="196">
        <v>3.135</v>
      </c>
      <c r="D8" s="196"/>
      <c r="E8" s="196"/>
      <c r="F8" s="197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198" t="s">
        <v>24</v>
      </c>
      <c r="B9" s="196">
        <f aca="true" t="shared" si="0" ref="B9:B72">C9+D9+E9+F9</f>
        <v>51381.41500000001</v>
      </c>
      <c r="C9" s="196">
        <f>10022.673+11930.411+1428.365+C201+C202+C203-3039.032+500-250+2500-939.519-995+500-589.082+531.784-543.504-9.968+392.615+C33</f>
        <v>21452.743000000006</v>
      </c>
      <c r="D9" s="196">
        <f>1581.483-D10-34.02-50+450</f>
        <v>1391.244</v>
      </c>
      <c r="E9" s="196">
        <f>24232.072-E10+625.648+13.489+0.032-501.992-1741.546+50+500-15-110</f>
        <v>17651.098000000005</v>
      </c>
      <c r="F9" s="197">
        <f>11303.716-F10+1414.687-13.489-123.605+70+25+-9.764-1800+4.498+70</f>
        <v>10886.330000000002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198" t="s">
        <v>25</v>
      </c>
      <c r="B10" s="225">
        <f t="shared" si="0"/>
        <v>9035.155999999999</v>
      </c>
      <c r="C10" s="225">
        <f>16916.211-11930.411-1428.365-C201-C202-C203-531.784+9.968-C33</f>
        <v>3022.6189999999992</v>
      </c>
      <c r="D10" s="225">
        <v>556.219</v>
      </c>
      <c r="E10" s="225">
        <f>6159.454-737.849-E25-E33-E41-E49-E69-E77-E91-E99-E119-E157</f>
        <v>5401.605</v>
      </c>
      <c r="F10" s="226">
        <f>25+118.263-F25-F33-F41-F49-F69-F77-F91-F99-F119-F157</f>
        <v>54.71300000000001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198" t="s">
        <v>26</v>
      </c>
      <c r="B11" s="225">
        <f t="shared" si="0"/>
        <v>23.969999999999995</v>
      </c>
      <c r="C11" s="225">
        <f>33.342-20.353-1.199-1.3+0.347+1.199-C34</f>
        <v>12.010999999999996</v>
      </c>
      <c r="D11" s="225">
        <v>1.515</v>
      </c>
      <c r="E11" s="225">
        <f>10.243-E26-E34-E42-E50-E70-E78-E92-E100-E120-E158</f>
        <v>10.209999999999999</v>
      </c>
      <c r="F11" s="226">
        <f>0.371-F26-F34-F42-F50-F70-F78-F92-F100-F120-F158</f>
        <v>0.23399999999999996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199" t="s">
        <v>7</v>
      </c>
      <c r="B12" s="196">
        <f t="shared" si="0"/>
        <v>19252.594</v>
      </c>
      <c r="C12" s="196">
        <f>C13+C14+C15</f>
        <v>20.5</v>
      </c>
      <c r="D12" s="196">
        <f>D13+D14+D15</f>
        <v>1.63</v>
      </c>
      <c r="E12" s="196">
        <f>E13+E14+E15</f>
        <v>557.728</v>
      </c>
      <c r="F12" s="197">
        <f>F13+F14+F15</f>
        <v>18672.736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199" t="s">
        <v>8</v>
      </c>
      <c r="B13" s="196">
        <f t="shared" si="0"/>
        <v>5477.549</v>
      </c>
      <c r="C13" s="200">
        <f>27.134-27</f>
        <v>0.13400000000000034</v>
      </c>
      <c r="D13" s="200">
        <v>0</v>
      </c>
      <c r="E13" s="200">
        <f>264.615-62.548</f>
        <v>202.067</v>
      </c>
      <c r="F13" s="201">
        <f>5113.633-328.285+140+350</f>
        <v>5275.348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199" t="s">
        <v>39</v>
      </c>
      <c r="B14" s="196">
        <f t="shared" si="0"/>
        <v>0</v>
      </c>
      <c r="C14" s="200">
        <v>0</v>
      </c>
      <c r="D14" s="200">
        <v>0</v>
      </c>
      <c r="E14" s="200">
        <v>0</v>
      </c>
      <c r="F14" s="201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199" t="s">
        <v>9</v>
      </c>
      <c r="B15" s="196">
        <f t="shared" si="0"/>
        <v>13775.045</v>
      </c>
      <c r="C15" s="200">
        <f>20.366-0</f>
        <v>20.366</v>
      </c>
      <c r="D15" s="200">
        <v>1.63</v>
      </c>
      <c r="E15" s="200">
        <f>778.006-422.345</f>
        <v>355.66099999999994</v>
      </c>
      <c r="F15" s="201">
        <f>12805.172+56.316+185.9+350</f>
        <v>13397.388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195" t="s">
        <v>43</v>
      </c>
      <c r="B16" s="196">
        <f t="shared" si="0"/>
        <v>3781.75</v>
      </c>
      <c r="C16" s="196">
        <f>C17+C19</f>
        <v>3781.75</v>
      </c>
      <c r="D16" s="196">
        <f>D17+D19</f>
        <v>0</v>
      </c>
      <c r="E16" s="196">
        <f>E17+E19</f>
        <v>0</v>
      </c>
      <c r="F16" s="197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199" t="s">
        <v>10</v>
      </c>
      <c r="B17" s="202">
        <f t="shared" si="0"/>
        <v>3781.75</v>
      </c>
      <c r="C17" s="202">
        <f>0+3781.75</f>
        <v>3781.75</v>
      </c>
      <c r="D17" s="200"/>
      <c r="E17" s="200"/>
      <c r="F17" s="201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198" t="s">
        <v>44</v>
      </c>
      <c r="B18" s="203">
        <f t="shared" si="0"/>
        <v>7.04</v>
      </c>
      <c r="C18" s="202">
        <f>0+7.04</f>
        <v>7.04</v>
      </c>
      <c r="D18" s="204"/>
      <c r="E18" s="204"/>
      <c r="F18" s="205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199" t="s">
        <v>7</v>
      </c>
      <c r="B19" s="196">
        <f t="shared" si="0"/>
        <v>0</v>
      </c>
      <c r="C19" s="196">
        <f>C20+C21+C22</f>
        <v>0</v>
      </c>
      <c r="D19" s="196">
        <f>D20+D21+D22</f>
        <v>0</v>
      </c>
      <c r="E19" s="196">
        <f>E20+E21+E22</f>
        <v>0</v>
      </c>
      <c r="F19" s="197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199" t="s">
        <v>8</v>
      </c>
      <c r="B20" s="196">
        <f t="shared" si="0"/>
        <v>0</v>
      </c>
      <c r="C20" s="206"/>
      <c r="D20" s="206"/>
      <c r="E20" s="206"/>
      <c r="F20" s="207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199" t="s">
        <v>39</v>
      </c>
      <c r="B21" s="196">
        <f t="shared" si="0"/>
        <v>0</v>
      </c>
      <c r="C21" s="196"/>
      <c r="D21" s="196"/>
      <c r="E21" s="200"/>
      <c r="F21" s="201"/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199" t="s">
        <v>9</v>
      </c>
      <c r="B22" s="196">
        <f t="shared" si="0"/>
        <v>0</v>
      </c>
      <c r="C22" s="200"/>
      <c r="D22" s="200"/>
      <c r="E22" s="200"/>
      <c r="F22" s="201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195" t="s">
        <v>19</v>
      </c>
      <c r="B23" s="196">
        <f t="shared" si="0"/>
        <v>6862.055</v>
      </c>
      <c r="C23" s="196">
        <f>C24+C25+C27</f>
        <v>972.288</v>
      </c>
      <c r="D23" s="196">
        <f>D24+D25+D27</f>
        <v>0</v>
      </c>
      <c r="E23" s="196">
        <f>E24+E25+E27</f>
        <v>2427.737</v>
      </c>
      <c r="F23" s="197">
        <f>F24+F25+F27</f>
        <v>3462.0299999999997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199" t="s">
        <v>10</v>
      </c>
      <c r="B24" s="196">
        <f t="shared" si="0"/>
        <v>4596.475</v>
      </c>
      <c r="C24" s="196">
        <v>838.574</v>
      </c>
      <c r="D24" s="196">
        <v>0</v>
      </c>
      <c r="E24" s="196">
        <f>2142.545-E25</f>
        <v>2132.545</v>
      </c>
      <c r="F24" s="197">
        <f>1639.356-F25</f>
        <v>1625.356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198" t="s">
        <v>75</v>
      </c>
      <c r="B25" s="196">
        <f t="shared" si="0"/>
        <v>24</v>
      </c>
      <c r="C25" s="196"/>
      <c r="D25" s="196"/>
      <c r="E25" s="200">
        <v>10</v>
      </c>
      <c r="F25" s="201">
        <v>14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198" t="s">
        <v>26</v>
      </c>
      <c r="B26" s="196">
        <f t="shared" si="0"/>
        <v>0.038</v>
      </c>
      <c r="C26" s="196"/>
      <c r="D26" s="196"/>
      <c r="E26" s="200">
        <v>0.018</v>
      </c>
      <c r="F26" s="201">
        <v>0.02</v>
      </c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199" t="s">
        <v>7</v>
      </c>
      <c r="B27" s="196">
        <f t="shared" si="0"/>
        <v>2241.58</v>
      </c>
      <c r="C27" s="196">
        <f>C28+C29+C30</f>
        <v>133.714</v>
      </c>
      <c r="D27" s="196">
        <f>D28+D29+D30</f>
        <v>0</v>
      </c>
      <c r="E27" s="196">
        <f>E28+E29+E30</f>
        <v>285.192</v>
      </c>
      <c r="F27" s="197">
        <f>F28+F29+F30</f>
        <v>1822.674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199" t="s">
        <v>8</v>
      </c>
      <c r="B28" s="196">
        <f t="shared" si="0"/>
        <v>1288.173</v>
      </c>
      <c r="C28" s="200"/>
      <c r="D28" s="200"/>
      <c r="E28" s="200">
        <v>97.48</v>
      </c>
      <c r="F28" s="201">
        <v>1190.693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199" t="s">
        <v>39</v>
      </c>
      <c r="B29" s="196">
        <f>C29+D29+E29+F29</f>
        <v>0</v>
      </c>
      <c r="C29" s="196"/>
      <c r="D29" s="196"/>
      <c r="E29" s="200"/>
      <c r="F29" s="201"/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199" t="s">
        <v>9</v>
      </c>
      <c r="B30" s="196">
        <f t="shared" si="0"/>
        <v>953.4069999999999</v>
      </c>
      <c r="C30" s="200">
        <f>151.08-17.366</f>
        <v>133.714</v>
      </c>
      <c r="D30" s="200"/>
      <c r="E30" s="200">
        <f>287.712-100</f>
        <v>187.712</v>
      </c>
      <c r="F30" s="201">
        <v>631.981</v>
      </c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195" t="s">
        <v>55</v>
      </c>
      <c r="B31" s="196">
        <f t="shared" si="0"/>
        <v>811.048</v>
      </c>
      <c r="C31" s="196">
        <f>C32+C33+C35</f>
        <v>811.048</v>
      </c>
      <c r="D31" s="196"/>
      <c r="E31" s="196"/>
      <c r="F31" s="197"/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199" t="s">
        <v>10</v>
      </c>
      <c r="B32" s="196">
        <f t="shared" si="0"/>
        <v>797.599</v>
      </c>
      <c r="C32" s="196">
        <f>810.599-C33</f>
        <v>797.599</v>
      </c>
      <c r="D32" s="196"/>
      <c r="E32" s="196"/>
      <c r="F32" s="197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198" t="s">
        <v>94</v>
      </c>
      <c r="B33" s="196">
        <f t="shared" si="0"/>
        <v>13</v>
      </c>
      <c r="C33" s="196">
        <v>13</v>
      </c>
      <c r="D33" s="196"/>
      <c r="E33" s="200"/>
      <c r="F33" s="201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198" t="s">
        <v>26</v>
      </c>
      <c r="B34" s="196">
        <f t="shared" si="0"/>
        <v>0.025</v>
      </c>
      <c r="C34" s="196">
        <v>0.025</v>
      </c>
      <c r="D34" s="196"/>
      <c r="E34" s="200"/>
      <c r="F34" s="201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199" t="s">
        <v>7</v>
      </c>
      <c r="B35" s="196">
        <f t="shared" si="0"/>
        <v>0.449</v>
      </c>
      <c r="C35" s="196">
        <f>C36+C37+C38</f>
        <v>0.449</v>
      </c>
      <c r="D35" s="196">
        <f>D36+D37+D38</f>
        <v>0</v>
      </c>
      <c r="E35" s="196">
        <f>E36+E37+E38</f>
        <v>0</v>
      </c>
      <c r="F35" s="197">
        <f>F36+F37+F38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199" t="s">
        <v>8</v>
      </c>
      <c r="B36" s="196">
        <f t="shared" si="0"/>
        <v>0.449</v>
      </c>
      <c r="C36" s="200">
        <v>0.449</v>
      </c>
      <c r="D36" s="200"/>
      <c r="E36" s="200"/>
      <c r="F36" s="201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199" t="s">
        <v>39</v>
      </c>
      <c r="B37" s="196">
        <f t="shared" si="0"/>
        <v>0</v>
      </c>
      <c r="C37" s="196"/>
      <c r="D37" s="196"/>
      <c r="E37" s="200"/>
      <c r="F37" s="201"/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199" t="s">
        <v>9</v>
      </c>
      <c r="B38" s="196">
        <f t="shared" si="0"/>
        <v>0</v>
      </c>
      <c r="C38" s="200"/>
      <c r="D38" s="200"/>
      <c r="E38" s="200"/>
      <c r="F38" s="201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195" t="s">
        <v>61</v>
      </c>
      <c r="B39" s="196">
        <f t="shared" si="0"/>
        <v>829.5770000000001</v>
      </c>
      <c r="C39" s="196">
        <f>C40+C41+C43</f>
        <v>0</v>
      </c>
      <c r="D39" s="196">
        <f>D40+D41+D43</f>
        <v>706.509</v>
      </c>
      <c r="E39" s="196">
        <f>E40+E41+E43</f>
        <v>84.40199999999999</v>
      </c>
      <c r="F39" s="197">
        <f>F40+F41+F43</f>
        <v>38.666000000000004</v>
      </c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199" t="s">
        <v>10</v>
      </c>
      <c r="B40" s="196">
        <f t="shared" si="0"/>
        <v>806.456</v>
      </c>
      <c r="C40" s="196"/>
      <c r="D40" s="196">
        <v>706.509</v>
      </c>
      <c r="E40" s="196">
        <f>65.362-E45</f>
        <v>65.362</v>
      </c>
      <c r="F40" s="197">
        <f>38.585-F41</f>
        <v>34.585</v>
      </c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198" t="s">
        <v>77</v>
      </c>
      <c r="B41" s="196">
        <f>C41+D41+E41+F41</f>
        <v>4</v>
      </c>
      <c r="C41" s="196"/>
      <c r="D41" s="196"/>
      <c r="E41" s="200"/>
      <c r="F41" s="201">
        <v>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198" t="s">
        <v>26</v>
      </c>
      <c r="B42" s="196">
        <f>C42+D42+E42+F42</f>
        <v>0.007</v>
      </c>
      <c r="C42" s="196"/>
      <c r="D42" s="196"/>
      <c r="E42" s="200"/>
      <c r="F42" s="201">
        <v>0.007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199" t="s">
        <v>7</v>
      </c>
      <c r="B43" s="196">
        <f>C43+D43+E43+F43</f>
        <v>19.121</v>
      </c>
      <c r="C43" s="196">
        <f>C44+C45+C46</f>
        <v>0</v>
      </c>
      <c r="D43" s="196">
        <f>D44+D45+D46</f>
        <v>0</v>
      </c>
      <c r="E43" s="196">
        <f>E44+E45+E46</f>
        <v>19.04</v>
      </c>
      <c r="F43" s="197">
        <f>F44+F45+F46</f>
        <v>0.081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199" t="s">
        <v>8</v>
      </c>
      <c r="B44" s="196">
        <f t="shared" si="0"/>
        <v>19.121</v>
      </c>
      <c r="C44" s="196"/>
      <c r="D44" s="196"/>
      <c r="E44" s="200">
        <v>19.04</v>
      </c>
      <c r="F44" s="201">
        <v>0.081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199" t="s">
        <v>39</v>
      </c>
      <c r="B45" s="196">
        <f>C45+D45+E45+F45</f>
        <v>0</v>
      </c>
      <c r="C45" s="196"/>
      <c r="D45" s="196"/>
      <c r="E45" s="200"/>
      <c r="F45" s="201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199" t="s">
        <v>9</v>
      </c>
      <c r="B46" s="196">
        <f>C46+D46+E46+F46</f>
        <v>0</v>
      </c>
      <c r="C46" s="200"/>
      <c r="D46" s="200"/>
      <c r="E46" s="200"/>
      <c r="F46" s="20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195" t="s">
        <v>47</v>
      </c>
      <c r="B47" s="196">
        <f t="shared" si="0"/>
        <v>13624.895</v>
      </c>
      <c r="C47" s="196">
        <f>C48+C49+C51</f>
        <v>6904.727</v>
      </c>
      <c r="D47" s="196">
        <f>D48+D49+D51</f>
        <v>0</v>
      </c>
      <c r="E47" s="196">
        <f>E48+E49+E51</f>
        <v>2501.426</v>
      </c>
      <c r="F47" s="197">
        <f>F48+F49+F51</f>
        <v>4218.742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198" t="s">
        <v>21</v>
      </c>
      <c r="B48" s="196">
        <f t="shared" si="0"/>
        <v>5134.436</v>
      </c>
      <c r="C48" s="196">
        <f>6904.727-C49</f>
        <v>1447.3009999999995</v>
      </c>
      <c r="D48" s="196"/>
      <c r="E48" s="196">
        <f>2409.71-E49</f>
        <v>2399.71</v>
      </c>
      <c r="F48" s="197">
        <f>1290.925-F49</f>
        <v>1287.425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228" t="s">
        <v>78</v>
      </c>
      <c r="B49" s="196">
        <f t="shared" si="0"/>
        <v>5470.926</v>
      </c>
      <c r="C49" s="196">
        <v>5457.426</v>
      </c>
      <c r="D49" s="196"/>
      <c r="E49" s="196">
        <v>10</v>
      </c>
      <c r="F49" s="197">
        <v>3.5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198" t="s">
        <v>26</v>
      </c>
      <c r="B50" s="203">
        <f t="shared" si="0"/>
        <v>7.571999999999999</v>
      </c>
      <c r="C50" s="203">
        <f>0.191+7.359</f>
        <v>7.55</v>
      </c>
      <c r="D50" s="225"/>
      <c r="E50" s="203">
        <v>0.015</v>
      </c>
      <c r="F50" s="210">
        <v>0.007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199" t="s">
        <v>7</v>
      </c>
      <c r="B51" s="196">
        <f t="shared" si="0"/>
        <v>3019.533</v>
      </c>
      <c r="C51" s="196">
        <f>C52+C53+C54</f>
        <v>0</v>
      </c>
      <c r="D51" s="196">
        <f>D52+D53+D54</f>
        <v>0</v>
      </c>
      <c r="E51" s="196">
        <f>E52+E53+E54</f>
        <v>91.716</v>
      </c>
      <c r="F51" s="197">
        <f>F52+F53+F54</f>
        <v>2927.817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199" t="s">
        <v>8</v>
      </c>
      <c r="B52" s="196">
        <f t="shared" si="0"/>
        <v>2784.9249999999997</v>
      </c>
      <c r="C52" s="200"/>
      <c r="D52" s="200"/>
      <c r="E52" s="200">
        <v>91.716</v>
      </c>
      <c r="F52" s="201">
        <v>2693.209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199" t="s">
        <v>39</v>
      </c>
      <c r="B53" s="196">
        <f t="shared" si="0"/>
        <v>200.28900000000002</v>
      </c>
      <c r="C53" s="200"/>
      <c r="D53" s="200"/>
      <c r="E53" s="200"/>
      <c r="F53" s="201">
        <f>122.176+82.611-4.498</f>
        <v>200.28900000000002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199" t="s">
        <v>9</v>
      </c>
      <c r="B54" s="196">
        <f t="shared" si="0"/>
        <v>34.319</v>
      </c>
      <c r="C54" s="200"/>
      <c r="D54" s="200"/>
      <c r="E54" s="200"/>
      <c r="F54" s="201">
        <v>34.319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195" t="s">
        <v>60</v>
      </c>
      <c r="B55" s="196">
        <f t="shared" si="0"/>
        <v>101.18379999999999</v>
      </c>
      <c r="C55" s="196"/>
      <c r="D55" s="196"/>
      <c r="E55" s="196">
        <f>E56+E57</f>
        <v>38.2238</v>
      </c>
      <c r="F55" s="197">
        <f>F56+F57</f>
        <v>62.96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199" t="s">
        <v>10</v>
      </c>
      <c r="B56" s="196">
        <f t="shared" si="0"/>
        <v>69.1748</v>
      </c>
      <c r="C56" s="196"/>
      <c r="D56" s="196"/>
      <c r="E56" s="196">
        <f>51.713-13.4892</f>
        <v>38.2238</v>
      </c>
      <c r="F56" s="197">
        <v>30.951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199" t="s">
        <v>7</v>
      </c>
      <c r="B57" s="196">
        <f t="shared" si="0"/>
        <v>32.009</v>
      </c>
      <c r="C57" s="196">
        <f>C58+C59+C60</f>
        <v>0</v>
      </c>
      <c r="D57" s="196">
        <f>D58+D59+D60</f>
        <v>0</v>
      </c>
      <c r="E57" s="196">
        <f>E58+E59+E60</f>
        <v>0</v>
      </c>
      <c r="F57" s="197">
        <f>F58+F59+F60</f>
        <v>32.009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199" t="s">
        <v>8</v>
      </c>
      <c r="B58" s="196">
        <f t="shared" si="0"/>
        <v>26.265</v>
      </c>
      <c r="C58" s="200"/>
      <c r="D58" s="200"/>
      <c r="E58" s="200"/>
      <c r="F58" s="201">
        <v>26.265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199" t="s">
        <v>39</v>
      </c>
      <c r="B59" s="196">
        <f>C59+D59+E59+F59</f>
        <v>0</v>
      </c>
      <c r="C59" s="196"/>
      <c r="D59" s="196"/>
      <c r="E59" s="200"/>
      <c r="F59" s="201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199" t="s">
        <v>9</v>
      </c>
      <c r="B60" s="196">
        <f t="shared" si="0"/>
        <v>5.744</v>
      </c>
      <c r="C60" s="200"/>
      <c r="D60" s="200"/>
      <c r="E60" s="200"/>
      <c r="F60" s="201">
        <v>5.744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195" t="s">
        <v>59</v>
      </c>
      <c r="B61" s="196">
        <f t="shared" si="0"/>
        <v>14.023</v>
      </c>
      <c r="C61" s="196">
        <f>C62+C63</f>
        <v>0</v>
      </c>
      <c r="D61" s="196"/>
      <c r="E61" s="196">
        <f>E62+E63</f>
        <v>0</v>
      </c>
      <c r="F61" s="197">
        <f>F62+F63</f>
        <v>14.023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199" t="s">
        <v>10</v>
      </c>
      <c r="B62" s="196">
        <f t="shared" si="0"/>
        <v>14.023</v>
      </c>
      <c r="C62" s="196"/>
      <c r="D62" s="196"/>
      <c r="E62" s="196"/>
      <c r="F62" s="197">
        <v>14.023</v>
      </c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199" t="s">
        <v>7</v>
      </c>
      <c r="B63" s="196">
        <f t="shared" si="0"/>
        <v>0</v>
      </c>
      <c r="C63" s="196">
        <f>C64+C65+C66</f>
        <v>0</v>
      </c>
      <c r="D63" s="196">
        <f>D64+D65+D66</f>
        <v>0</v>
      </c>
      <c r="E63" s="196">
        <f>E64+E65+E66</f>
        <v>0</v>
      </c>
      <c r="F63" s="197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199" t="s">
        <v>8</v>
      </c>
      <c r="B64" s="196">
        <f t="shared" si="0"/>
        <v>0</v>
      </c>
      <c r="C64" s="196"/>
      <c r="D64" s="196"/>
      <c r="E64" s="196"/>
      <c r="F64" s="20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199" t="s">
        <v>39</v>
      </c>
      <c r="B65" s="196">
        <f>C65+D65+E65+F65</f>
        <v>0</v>
      </c>
      <c r="C65" s="196"/>
      <c r="D65" s="196"/>
      <c r="E65" s="200"/>
      <c r="F65" s="201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199" t="s">
        <v>9</v>
      </c>
      <c r="B66" s="196">
        <f t="shared" si="0"/>
        <v>0</v>
      </c>
      <c r="C66" s="196"/>
      <c r="D66" s="196"/>
      <c r="E66" s="196"/>
      <c r="F66" s="197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195" t="s">
        <v>48</v>
      </c>
      <c r="B67" s="196">
        <f t="shared" si="0"/>
        <v>3099.731</v>
      </c>
      <c r="C67" s="196">
        <f>C68+C69+C71</f>
        <v>2973.516</v>
      </c>
      <c r="D67" s="196"/>
      <c r="E67" s="196">
        <f>E68+E71</f>
        <v>126.215</v>
      </c>
      <c r="F67" s="197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199" t="s">
        <v>10</v>
      </c>
      <c r="B68" s="196">
        <f t="shared" si="0"/>
        <v>2881.8100000000004</v>
      </c>
      <c r="C68" s="196">
        <f>589.082+2384.434-C69</f>
        <v>2755.5950000000003</v>
      </c>
      <c r="D68" s="196"/>
      <c r="E68" s="196">
        <f>15+111.215</f>
        <v>126.215</v>
      </c>
      <c r="F68" s="197"/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28" t="s">
        <v>79</v>
      </c>
      <c r="B69" s="202">
        <f>C69+D69+E69+F69</f>
        <v>217.921</v>
      </c>
      <c r="C69" s="202">
        <v>217.921</v>
      </c>
      <c r="D69" s="230"/>
      <c r="E69" s="230"/>
      <c r="F69" s="19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198" t="s">
        <v>31</v>
      </c>
      <c r="B70" s="203">
        <f>C70+D70+E70+F70</f>
        <v>0.341</v>
      </c>
      <c r="C70" s="202">
        <v>0.341</v>
      </c>
      <c r="D70" s="230"/>
      <c r="E70" s="230"/>
      <c r="F70" s="197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199" t="s">
        <v>7</v>
      </c>
      <c r="B71" s="196">
        <f t="shared" si="0"/>
        <v>0</v>
      </c>
      <c r="C71" s="196">
        <f>C72+C73+C74</f>
        <v>0</v>
      </c>
      <c r="D71" s="196">
        <f>D72+D73+D74</f>
        <v>0</v>
      </c>
      <c r="E71" s="196">
        <f>E72+E73+E74</f>
        <v>0</v>
      </c>
      <c r="F71" s="197">
        <f>F72+F73+F74</f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199" t="s">
        <v>8</v>
      </c>
      <c r="B72" s="196">
        <f t="shared" si="0"/>
        <v>0</v>
      </c>
      <c r="C72" s="196"/>
      <c r="D72" s="196"/>
      <c r="E72" s="196"/>
      <c r="F72" s="20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199" t="s">
        <v>39</v>
      </c>
      <c r="B73" s="196">
        <f aca="true" t="shared" si="1" ref="B73:B137">C73+D73+E73+F73</f>
        <v>0</v>
      </c>
      <c r="C73" s="196"/>
      <c r="D73" s="196"/>
      <c r="E73" s="200"/>
      <c r="F73" s="201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199" t="s">
        <v>9</v>
      </c>
      <c r="B74" s="196">
        <f t="shared" si="1"/>
        <v>0</v>
      </c>
      <c r="C74" s="196"/>
      <c r="D74" s="196"/>
      <c r="E74" s="196"/>
      <c r="F74" s="20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231" t="s">
        <v>16</v>
      </c>
      <c r="B75" s="196">
        <f t="shared" si="1"/>
        <v>615.468</v>
      </c>
      <c r="C75" s="196">
        <f>C76+C77+C79</f>
        <v>0</v>
      </c>
      <c r="D75" s="196">
        <f>D76+D77+D79</f>
        <v>0</v>
      </c>
      <c r="E75" s="196">
        <f>E76+E77+E79</f>
        <v>437.885</v>
      </c>
      <c r="F75" s="197">
        <f>F76+F77+F79</f>
        <v>177.583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199" t="s">
        <v>10</v>
      </c>
      <c r="B76" s="196">
        <f t="shared" si="1"/>
        <v>550.468</v>
      </c>
      <c r="C76" s="196"/>
      <c r="D76" s="196"/>
      <c r="E76" s="196">
        <v>437.885</v>
      </c>
      <c r="F76" s="197">
        <f>177.583-F77</f>
        <v>112.583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198" t="s">
        <v>80</v>
      </c>
      <c r="B77" s="196">
        <f t="shared" si="1"/>
        <v>65</v>
      </c>
      <c r="C77" s="196"/>
      <c r="D77" s="196"/>
      <c r="E77" s="200"/>
      <c r="F77" s="197">
        <v>65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198" t="s">
        <v>26</v>
      </c>
      <c r="B78" s="196">
        <f t="shared" si="1"/>
        <v>0.1</v>
      </c>
      <c r="C78" s="196"/>
      <c r="D78" s="196"/>
      <c r="E78" s="200"/>
      <c r="F78" s="201">
        <v>0.1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199" t="s">
        <v>7</v>
      </c>
      <c r="B79" s="196">
        <f t="shared" si="1"/>
        <v>0</v>
      </c>
      <c r="C79" s="196">
        <f>C80+C81+C82</f>
        <v>0</v>
      </c>
      <c r="D79" s="196">
        <f>D80+D81+D82</f>
        <v>0</v>
      </c>
      <c r="E79" s="196">
        <f>E80+E81+E82</f>
        <v>0</v>
      </c>
      <c r="F79" s="197">
        <f>F80+F81+F82</f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199" t="s">
        <v>8</v>
      </c>
      <c r="B80" s="196">
        <f t="shared" si="1"/>
        <v>0</v>
      </c>
      <c r="C80" s="200"/>
      <c r="D80" s="196"/>
      <c r="E80" s="196"/>
      <c r="F80" s="197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199" t="s">
        <v>39</v>
      </c>
      <c r="B81" s="196">
        <f t="shared" si="1"/>
        <v>0</v>
      </c>
      <c r="C81" s="196"/>
      <c r="D81" s="196"/>
      <c r="E81" s="200"/>
      <c r="F81" s="20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199" t="s">
        <v>9</v>
      </c>
      <c r="B82" s="196">
        <f t="shared" si="1"/>
        <v>0</v>
      </c>
      <c r="C82" s="200"/>
      <c r="D82" s="196"/>
      <c r="E82" s="196"/>
      <c r="F82" s="197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31" t="s">
        <v>4</v>
      </c>
      <c r="B83" s="196">
        <f t="shared" si="1"/>
        <v>432.556</v>
      </c>
      <c r="C83" s="196">
        <f>C84+C85</f>
        <v>432.556</v>
      </c>
      <c r="D83" s="196"/>
      <c r="E83" s="196"/>
      <c r="F83" s="197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198" t="s">
        <v>21</v>
      </c>
      <c r="B84" s="196">
        <f t="shared" si="1"/>
        <v>432.556</v>
      </c>
      <c r="C84" s="196">
        <v>432.556</v>
      </c>
      <c r="D84" s="196"/>
      <c r="E84" s="196">
        <f>E83-E85</f>
        <v>0</v>
      </c>
      <c r="F84" s="197">
        <f>F83-F85</f>
        <v>0</v>
      </c>
      <c r="G84" s="120"/>
      <c r="H84" s="120"/>
    </row>
    <row r="85" spans="1:8" s="30" customFormat="1" ht="32.25" customHeight="1">
      <c r="A85" s="199" t="s">
        <v>7</v>
      </c>
      <c r="B85" s="196">
        <f t="shared" si="1"/>
        <v>0</v>
      </c>
      <c r="C85" s="196">
        <f>C86+C87+C88</f>
        <v>0</v>
      </c>
      <c r="D85" s="196">
        <f>D86+D87+D88</f>
        <v>0</v>
      </c>
      <c r="E85" s="196">
        <f>E86+E87+E88</f>
        <v>0</v>
      </c>
      <c r="F85" s="197">
        <f>F86+F87+F88</f>
        <v>0</v>
      </c>
      <c r="G85" s="120"/>
      <c r="H85" s="120"/>
    </row>
    <row r="86" spans="1:18" s="3" customFormat="1" ht="32.25" customHeight="1">
      <c r="A86" s="199" t="s">
        <v>8</v>
      </c>
      <c r="B86" s="196">
        <f t="shared" si="1"/>
        <v>0</v>
      </c>
      <c r="C86" s="200"/>
      <c r="D86" s="196"/>
      <c r="E86" s="196"/>
      <c r="F86" s="197"/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199" t="s">
        <v>39</v>
      </c>
      <c r="B87" s="196">
        <f t="shared" si="1"/>
        <v>0</v>
      </c>
      <c r="C87" s="196"/>
      <c r="D87" s="196"/>
      <c r="E87" s="200"/>
      <c r="F87" s="201"/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199" t="s">
        <v>9</v>
      </c>
      <c r="B88" s="196">
        <f t="shared" si="1"/>
        <v>0</v>
      </c>
      <c r="C88" s="200"/>
      <c r="D88" s="196"/>
      <c r="E88" s="196"/>
      <c r="F88" s="197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195" t="s">
        <v>58</v>
      </c>
      <c r="B89" s="196">
        <f t="shared" si="1"/>
        <v>2189.7259999999997</v>
      </c>
      <c r="C89" s="196">
        <f>C90+C91+C93</f>
        <v>1247.956</v>
      </c>
      <c r="D89" s="196">
        <f>D90+D93</f>
        <v>0</v>
      </c>
      <c r="E89" s="196">
        <f>E90+E93</f>
        <v>436.012</v>
      </c>
      <c r="F89" s="197">
        <f>F90+F91+F93</f>
        <v>505.75800000000004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199" t="s">
        <v>10</v>
      </c>
      <c r="B90" s="196">
        <f t="shared" si="1"/>
        <v>827.6559999999998</v>
      </c>
      <c r="C90" s="196">
        <f>1247.956-C91</f>
        <v>228.87999999999988</v>
      </c>
      <c r="D90" s="196">
        <v>0</v>
      </c>
      <c r="E90" s="196">
        <v>436.012</v>
      </c>
      <c r="F90" s="197">
        <v>162.764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198" t="s">
        <v>81</v>
      </c>
      <c r="B91" s="196">
        <f>C91+D91+E91+F91</f>
        <v>1019.076</v>
      </c>
      <c r="C91" s="196">
        <v>1019.076</v>
      </c>
      <c r="D91" s="196"/>
      <c r="E91" s="196"/>
      <c r="F91" s="19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198" t="s">
        <v>26</v>
      </c>
      <c r="B92" s="203">
        <f>C92+D92+E92+F92</f>
        <v>1.087</v>
      </c>
      <c r="C92" s="196">
        <v>1.087</v>
      </c>
      <c r="D92" s="225"/>
      <c r="E92" s="225"/>
      <c r="F92" s="210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199" t="s">
        <v>7</v>
      </c>
      <c r="B93" s="196">
        <f t="shared" si="1"/>
        <v>342.994</v>
      </c>
      <c r="C93" s="196">
        <f>C94+C95+C96</f>
        <v>0</v>
      </c>
      <c r="D93" s="196">
        <f>D94+D95+D96</f>
        <v>0</v>
      </c>
      <c r="E93" s="196">
        <f>E94+E95+E96</f>
        <v>0</v>
      </c>
      <c r="F93" s="197">
        <f>F94+F95+F96</f>
        <v>342.994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199" t="s">
        <v>8</v>
      </c>
      <c r="B94" s="196">
        <f t="shared" si="1"/>
        <v>298.901</v>
      </c>
      <c r="C94" s="200"/>
      <c r="D94" s="196"/>
      <c r="E94" s="196"/>
      <c r="F94" s="197">
        <v>298.901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199" t="s">
        <v>39</v>
      </c>
      <c r="B95" s="196">
        <f t="shared" si="1"/>
        <v>0</v>
      </c>
      <c r="C95" s="196"/>
      <c r="D95" s="196"/>
      <c r="E95" s="200"/>
      <c r="F95" s="201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199" t="s">
        <v>9</v>
      </c>
      <c r="B96" s="196">
        <f t="shared" si="1"/>
        <v>44.093</v>
      </c>
      <c r="C96" s="200"/>
      <c r="D96" s="196"/>
      <c r="E96" s="196"/>
      <c r="F96" s="197">
        <v>44.093</v>
      </c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195" t="s">
        <v>15</v>
      </c>
      <c r="B97" s="196">
        <f t="shared" si="1"/>
        <v>2383.8940000000002</v>
      </c>
      <c r="C97" s="196">
        <f>C98+C99</f>
        <v>2368.094</v>
      </c>
      <c r="D97" s="196"/>
      <c r="E97" s="196">
        <f>E98+E99</f>
        <v>0</v>
      </c>
      <c r="F97" s="197">
        <f>F98+F99</f>
        <v>15.8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199" t="s">
        <v>10</v>
      </c>
      <c r="B98" s="196">
        <f t="shared" si="1"/>
        <v>1086.323</v>
      </c>
      <c r="C98" s="209">
        <f>2368.094-C99</f>
        <v>1070.5230000000001</v>
      </c>
      <c r="D98" s="209"/>
      <c r="E98" s="209"/>
      <c r="F98" s="210">
        <v>15.8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198" t="s">
        <v>38</v>
      </c>
      <c r="B99" s="196">
        <f t="shared" si="1"/>
        <v>1297.571</v>
      </c>
      <c r="C99" s="196">
        <v>1297.571</v>
      </c>
      <c r="D99" s="196"/>
      <c r="E99" s="196">
        <f>E101+E100</f>
        <v>0</v>
      </c>
      <c r="F99" s="197">
        <f>F101+F100</f>
        <v>0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198" t="s">
        <v>26</v>
      </c>
      <c r="B100" s="196">
        <f t="shared" si="1"/>
        <v>1.575</v>
      </c>
      <c r="C100" s="196">
        <v>1.575</v>
      </c>
      <c r="D100" s="196"/>
      <c r="E100" s="200"/>
      <c r="F100" s="201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199" t="s">
        <v>7</v>
      </c>
      <c r="B101" s="196">
        <f t="shared" si="1"/>
        <v>0</v>
      </c>
      <c r="C101" s="196">
        <f>C102+C103+C104</f>
        <v>0</v>
      </c>
      <c r="D101" s="196">
        <f>D102+D103+D104</f>
        <v>0</v>
      </c>
      <c r="E101" s="196">
        <f>E102+E103+E104</f>
        <v>0</v>
      </c>
      <c r="F101" s="197">
        <f>F102+F103+F104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199" t="s">
        <v>8</v>
      </c>
      <c r="B102" s="196">
        <f t="shared" si="1"/>
        <v>0</v>
      </c>
      <c r="C102" s="200"/>
      <c r="D102" s="196"/>
      <c r="E102" s="196"/>
      <c r="F102" s="197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199" t="s">
        <v>39</v>
      </c>
      <c r="B103" s="196">
        <f>C103+D103+E103+F103</f>
        <v>0</v>
      </c>
      <c r="C103" s="196"/>
      <c r="D103" s="196"/>
      <c r="E103" s="200"/>
      <c r="F103" s="201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199" t="s">
        <v>9</v>
      </c>
      <c r="B104" s="196">
        <f t="shared" si="1"/>
        <v>0</v>
      </c>
      <c r="C104" s="200"/>
      <c r="D104" s="196"/>
      <c r="E104" s="196"/>
      <c r="F104" s="19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195" t="s">
        <v>57</v>
      </c>
      <c r="B105" s="196">
        <f t="shared" si="1"/>
        <v>41.835</v>
      </c>
      <c r="C105" s="196">
        <f>C106+C107</f>
        <v>0</v>
      </c>
      <c r="D105" s="196"/>
      <c r="E105" s="196">
        <f>E106+E107</f>
        <v>41.835</v>
      </c>
      <c r="F105" s="197">
        <f>F106+F107</f>
        <v>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199" t="s">
        <v>10</v>
      </c>
      <c r="B106" s="196">
        <f t="shared" si="1"/>
        <v>41.835</v>
      </c>
      <c r="C106" s="209"/>
      <c r="D106" s="209"/>
      <c r="E106" s="209">
        <v>41.835</v>
      </c>
      <c r="F106" s="2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199" t="s">
        <v>7</v>
      </c>
      <c r="B107" s="196">
        <f t="shared" si="1"/>
        <v>0</v>
      </c>
      <c r="C107" s="196">
        <f>C108+C109+C110</f>
        <v>0</v>
      </c>
      <c r="D107" s="196">
        <f>D108+D109+D110</f>
        <v>0</v>
      </c>
      <c r="E107" s="196">
        <f>E108+E109+E110</f>
        <v>0</v>
      </c>
      <c r="F107" s="197">
        <f>F108+F109+F110</f>
        <v>0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199" t="s">
        <v>8</v>
      </c>
      <c r="B108" s="196">
        <f t="shared" si="1"/>
        <v>0</v>
      </c>
      <c r="C108" s="200"/>
      <c r="D108" s="196"/>
      <c r="E108" s="200"/>
      <c r="F108" s="201"/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199" t="s">
        <v>39</v>
      </c>
      <c r="B109" s="196">
        <f t="shared" si="1"/>
        <v>0</v>
      </c>
      <c r="C109" s="196"/>
      <c r="D109" s="196"/>
      <c r="E109" s="200"/>
      <c r="F109" s="201"/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199" t="s">
        <v>9</v>
      </c>
      <c r="B110" s="196">
        <f t="shared" si="1"/>
        <v>0</v>
      </c>
      <c r="C110" s="200"/>
      <c r="D110" s="196"/>
      <c r="E110" s="200"/>
      <c r="F110" s="201"/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195" t="s">
        <v>14</v>
      </c>
      <c r="B111" s="196">
        <f t="shared" si="1"/>
        <v>119.37700000000001</v>
      </c>
      <c r="C111" s="200"/>
      <c r="D111" s="196"/>
      <c r="E111" s="196">
        <f>E112+E113</f>
        <v>0</v>
      </c>
      <c r="F111" s="197">
        <f>F112+F113</f>
        <v>119.37700000000001</v>
      </c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199" t="s">
        <v>10</v>
      </c>
      <c r="B112" s="196">
        <f t="shared" si="1"/>
        <v>0.811</v>
      </c>
      <c r="C112" s="200"/>
      <c r="D112" s="196"/>
      <c r="E112" s="196"/>
      <c r="F112" s="210">
        <v>0.811</v>
      </c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199" t="s">
        <v>7</v>
      </c>
      <c r="B113" s="196">
        <f t="shared" si="1"/>
        <v>118.566</v>
      </c>
      <c r="C113" s="196">
        <f>C114+C115+C116</f>
        <v>0</v>
      </c>
      <c r="D113" s="196">
        <f>D114+D115+D116</f>
        <v>0</v>
      </c>
      <c r="E113" s="196">
        <f>E114+E115+E116</f>
        <v>0</v>
      </c>
      <c r="F113" s="197">
        <f>F114+F115+F116</f>
        <v>118.566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199" t="s">
        <v>8</v>
      </c>
      <c r="B114" s="196">
        <f t="shared" si="1"/>
        <v>118.566</v>
      </c>
      <c r="C114" s="200"/>
      <c r="D114" s="196"/>
      <c r="E114" s="200"/>
      <c r="F114" s="201">
        <v>118.566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199" t="s">
        <v>39</v>
      </c>
      <c r="B115" s="196">
        <f t="shared" si="1"/>
        <v>0</v>
      </c>
      <c r="C115" s="196"/>
      <c r="D115" s="196"/>
      <c r="E115" s="200"/>
      <c r="F115" s="201"/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199" t="s">
        <v>9</v>
      </c>
      <c r="B116" s="196">
        <f t="shared" si="1"/>
        <v>0</v>
      </c>
      <c r="C116" s="200"/>
      <c r="D116" s="196"/>
      <c r="E116" s="200"/>
      <c r="F116" s="201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195" t="s">
        <v>18</v>
      </c>
      <c r="B117" s="196">
        <f t="shared" si="1"/>
        <v>249.482</v>
      </c>
      <c r="C117" s="196">
        <f>C118+C119+C121</f>
        <v>0</v>
      </c>
      <c r="D117" s="196">
        <f>D118+D119+D121</f>
        <v>0</v>
      </c>
      <c r="E117" s="196">
        <f>E118+E119+E121</f>
        <v>17.65</v>
      </c>
      <c r="F117" s="197">
        <f>F118+F119+F121</f>
        <v>231.832</v>
      </c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199" t="s">
        <v>10</v>
      </c>
      <c r="B118" s="196">
        <f t="shared" si="1"/>
        <v>72.418</v>
      </c>
      <c r="C118" s="200"/>
      <c r="D118" s="196"/>
      <c r="E118" s="209">
        <f>17.65</f>
        <v>17.65</v>
      </c>
      <c r="F118" s="210">
        <f>56.818-F119</f>
        <v>54.768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198" t="s">
        <v>82</v>
      </c>
      <c r="B119" s="196">
        <f>C119+D119+E119+F119</f>
        <v>2.05</v>
      </c>
      <c r="C119" s="196"/>
      <c r="D119" s="196"/>
      <c r="E119" s="200"/>
      <c r="F119" s="201">
        <v>2.05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198" t="s">
        <v>26</v>
      </c>
      <c r="B120" s="196">
        <f>C120+D120+E120+F120</f>
        <v>0.003</v>
      </c>
      <c r="C120" s="196"/>
      <c r="D120" s="196"/>
      <c r="E120" s="200"/>
      <c r="F120" s="201">
        <v>0.003</v>
      </c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199" t="s">
        <v>7</v>
      </c>
      <c r="B121" s="196">
        <f>C121+D121+E121+F121</f>
        <v>175.014</v>
      </c>
      <c r="C121" s="196">
        <f>C122+C123+C124</f>
        <v>0</v>
      </c>
      <c r="D121" s="196">
        <f>D122+D123+D124</f>
        <v>0</v>
      </c>
      <c r="E121" s="196">
        <f>E122+E123+E124</f>
        <v>0</v>
      </c>
      <c r="F121" s="197">
        <f>F122+F123+F124</f>
        <v>175.014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199" t="s">
        <v>8</v>
      </c>
      <c r="B122" s="196">
        <f>C122+D122+E122+F122</f>
        <v>0</v>
      </c>
      <c r="C122" s="200"/>
      <c r="D122" s="196"/>
      <c r="E122" s="200"/>
      <c r="F122" s="201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199" t="s">
        <v>39</v>
      </c>
      <c r="B123" s="196">
        <f>C123+D123+E123+F123</f>
        <v>0</v>
      </c>
      <c r="C123" s="196"/>
      <c r="D123" s="196"/>
      <c r="E123" s="200"/>
      <c r="F123" s="201"/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199" t="s">
        <v>9</v>
      </c>
      <c r="B124" s="196">
        <f t="shared" si="1"/>
        <v>175.014</v>
      </c>
      <c r="C124" s="200"/>
      <c r="D124" s="196"/>
      <c r="E124" s="196"/>
      <c r="F124" s="197">
        <v>175.014</v>
      </c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195" t="s">
        <v>13</v>
      </c>
      <c r="B125" s="196">
        <f t="shared" si="1"/>
        <v>188.856</v>
      </c>
      <c r="C125" s="196">
        <f>C126+C127</f>
        <v>0</v>
      </c>
      <c r="D125" s="196"/>
      <c r="E125" s="196">
        <f>E126+E127</f>
        <v>188.856</v>
      </c>
      <c r="F125" s="197">
        <f>F126+F127</f>
        <v>0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199" t="s">
        <v>10</v>
      </c>
      <c r="B126" s="196">
        <f t="shared" si="1"/>
        <v>188.856</v>
      </c>
      <c r="C126" s="209"/>
      <c r="D126" s="209"/>
      <c r="E126" s="209">
        <v>188.856</v>
      </c>
      <c r="F126" s="210"/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199" t="s">
        <v>7</v>
      </c>
      <c r="B127" s="196">
        <f t="shared" si="1"/>
        <v>0</v>
      </c>
      <c r="C127" s="196">
        <f>C128+C129+C130</f>
        <v>0</v>
      </c>
      <c r="D127" s="196">
        <f>D128+D129+D130</f>
        <v>0</v>
      </c>
      <c r="E127" s="196">
        <f>E128+E129+E130</f>
        <v>0</v>
      </c>
      <c r="F127" s="197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199" t="s">
        <v>8</v>
      </c>
      <c r="B128" s="196">
        <f t="shared" si="1"/>
        <v>0</v>
      </c>
      <c r="C128" s="200"/>
      <c r="D128" s="196"/>
      <c r="E128" s="200"/>
      <c r="F128" s="201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199" t="s">
        <v>39</v>
      </c>
      <c r="B129" s="196">
        <f t="shared" si="1"/>
        <v>0</v>
      </c>
      <c r="C129" s="196"/>
      <c r="D129" s="196"/>
      <c r="E129" s="200"/>
      <c r="F129" s="201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199" t="s">
        <v>9</v>
      </c>
      <c r="B130" s="196">
        <f t="shared" si="1"/>
        <v>0</v>
      </c>
      <c r="C130" s="200"/>
      <c r="D130" s="196"/>
      <c r="E130" s="200"/>
      <c r="F130" s="201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195" t="s">
        <v>62</v>
      </c>
      <c r="B131" s="196">
        <f t="shared" si="1"/>
        <v>13.4892</v>
      </c>
      <c r="C131" s="200"/>
      <c r="D131" s="196"/>
      <c r="E131" s="196">
        <f>E132+E133</f>
        <v>0</v>
      </c>
      <c r="F131" s="197">
        <f>F132+F133</f>
        <v>13.4892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199" t="s">
        <v>10</v>
      </c>
      <c r="B132" s="196">
        <f t="shared" si="1"/>
        <v>13.4892</v>
      </c>
      <c r="C132" s="200"/>
      <c r="D132" s="196"/>
      <c r="E132" s="196"/>
      <c r="F132" s="210">
        <v>13.4892</v>
      </c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199" t="s">
        <v>7</v>
      </c>
      <c r="B133" s="196">
        <f t="shared" si="1"/>
        <v>0</v>
      </c>
      <c r="C133" s="196">
        <f>C134+C135+C136</f>
        <v>0</v>
      </c>
      <c r="D133" s="196">
        <f>D134+D135+D136</f>
        <v>0</v>
      </c>
      <c r="E133" s="196">
        <f>E134+E135+E136</f>
        <v>0</v>
      </c>
      <c r="F133" s="197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199" t="s">
        <v>8</v>
      </c>
      <c r="B134" s="196">
        <f t="shared" si="1"/>
        <v>0</v>
      </c>
      <c r="C134" s="200"/>
      <c r="D134" s="196"/>
      <c r="E134" s="200"/>
      <c r="F134" s="201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199" t="s">
        <v>39</v>
      </c>
      <c r="B135" s="196">
        <f>C135+D135+E135+F135</f>
        <v>0</v>
      </c>
      <c r="C135" s="196"/>
      <c r="D135" s="196"/>
      <c r="E135" s="200"/>
      <c r="F135" s="201"/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199" t="s">
        <v>9</v>
      </c>
      <c r="B136" s="196">
        <f t="shared" si="1"/>
        <v>0</v>
      </c>
      <c r="C136" s="200"/>
      <c r="D136" s="196"/>
      <c r="E136" s="200"/>
      <c r="F136" s="201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195" t="s">
        <v>83</v>
      </c>
      <c r="B137" s="196">
        <f t="shared" si="1"/>
        <v>653.504</v>
      </c>
      <c r="C137" s="196">
        <f>C138+C139</f>
        <v>543.504</v>
      </c>
      <c r="D137" s="196">
        <f>D138+D139</f>
        <v>0</v>
      </c>
      <c r="E137" s="196">
        <f>E138+E139</f>
        <v>110</v>
      </c>
      <c r="F137" s="19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199" t="s">
        <v>10</v>
      </c>
      <c r="B138" s="196">
        <f aca="true" t="shared" si="2" ref="B138:B191">C138+D138+E138+F138</f>
        <v>653.504</v>
      </c>
      <c r="C138" s="200">
        <v>543.504</v>
      </c>
      <c r="D138" s="200"/>
      <c r="E138" s="200">
        <v>110</v>
      </c>
      <c r="F138" s="210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199" t="s">
        <v>7</v>
      </c>
      <c r="B139" s="196">
        <f t="shared" si="2"/>
        <v>0</v>
      </c>
      <c r="C139" s="196">
        <f>C140+C141+C142</f>
        <v>0</v>
      </c>
      <c r="D139" s="196">
        <f>D140+D141+D142</f>
        <v>0</v>
      </c>
      <c r="E139" s="196">
        <f>E140+E141+E142</f>
        <v>0</v>
      </c>
      <c r="F139" s="197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199" t="s">
        <v>8</v>
      </c>
      <c r="B140" s="196">
        <f t="shared" si="2"/>
        <v>0</v>
      </c>
      <c r="C140" s="200"/>
      <c r="D140" s="196"/>
      <c r="E140" s="196"/>
      <c r="F140" s="19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199" t="s">
        <v>39</v>
      </c>
      <c r="B141" s="196">
        <f>C141+D141+E141+F141</f>
        <v>0</v>
      </c>
      <c r="C141" s="196"/>
      <c r="D141" s="196"/>
      <c r="E141" s="200"/>
      <c r="F141" s="201"/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199" t="s">
        <v>9</v>
      </c>
      <c r="B142" s="196">
        <f t="shared" si="2"/>
        <v>0</v>
      </c>
      <c r="C142" s="200"/>
      <c r="D142" s="196"/>
      <c r="E142" s="196"/>
      <c r="F142" s="19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195" t="s">
        <v>56</v>
      </c>
      <c r="B143" s="196">
        <f t="shared" si="2"/>
        <v>347.929</v>
      </c>
      <c r="C143" s="196"/>
      <c r="D143" s="196"/>
      <c r="E143" s="196">
        <f>E144+E145</f>
        <v>347.929</v>
      </c>
      <c r="F143" s="197">
        <f>F144+F145</f>
        <v>0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199" t="s">
        <v>10</v>
      </c>
      <c r="B144" s="196">
        <f t="shared" si="2"/>
        <v>248.359</v>
      </c>
      <c r="C144" s="196"/>
      <c r="D144" s="196"/>
      <c r="E144" s="196">
        <v>248.359</v>
      </c>
      <c r="F144" s="197"/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199" t="s">
        <v>7</v>
      </c>
      <c r="B145" s="196">
        <f t="shared" si="2"/>
        <v>99.57</v>
      </c>
      <c r="C145" s="196">
        <f>C146+C147+C148</f>
        <v>0</v>
      </c>
      <c r="D145" s="196">
        <f>D146+D147+D148</f>
        <v>0</v>
      </c>
      <c r="E145" s="196">
        <f>E146+E147+E148</f>
        <v>99.57</v>
      </c>
      <c r="F145" s="197">
        <f>F146+F147+F148</f>
        <v>0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199" t="s">
        <v>8</v>
      </c>
      <c r="B146" s="196">
        <f t="shared" si="2"/>
        <v>99.57</v>
      </c>
      <c r="C146" s="196"/>
      <c r="D146" s="196"/>
      <c r="E146" s="200">
        <v>99.57</v>
      </c>
      <c r="F146" s="201"/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199" t="s">
        <v>39</v>
      </c>
      <c r="B147" s="196">
        <f t="shared" si="2"/>
        <v>0</v>
      </c>
      <c r="C147" s="196"/>
      <c r="D147" s="196"/>
      <c r="E147" s="200"/>
      <c r="F147" s="201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199" t="s">
        <v>9</v>
      </c>
      <c r="B148" s="196">
        <f t="shared" si="2"/>
        <v>0</v>
      </c>
      <c r="C148" s="196"/>
      <c r="D148" s="196"/>
      <c r="E148" s="200"/>
      <c r="F148" s="201"/>
      <c r="G148" s="120"/>
      <c r="H148" s="120"/>
    </row>
    <row r="149" spans="1:8" s="30" customFormat="1" ht="32.25" customHeight="1">
      <c r="A149" s="195" t="s">
        <v>6</v>
      </c>
      <c r="B149" s="196">
        <f t="shared" si="2"/>
        <v>1848.161</v>
      </c>
      <c r="C149" s="196"/>
      <c r="D149" s="196"/>
      <c r="E149" s="196">
        <f>E150+E151</f>
        <v>856.391</v>
      </c>
      <c r="F149" s="197">
        <f>F150+F151</f>
        <v>991.77</v>
      </c>
      <c r="G149" s="120"/>
      <c r="H149" s="120"/>
    </row>
    <row r="150" spans="1:18" s="3" customFormat="1" ht="32.25" customHeight="1">
      <c r="A150" s="199" t="s">
        <v>10</v>
      </c>
      <c r="B150" s="196">
        <f t="shared" si="2"/>
        <v>867.259</v>
      </c>
      <c r="C150" s="196"/>
      <c r="D150" s="196"/>
      <c r="E150" s="196">
        <v>586.285</v>
      </c>
      <c r="F150" s="197">
        <v>280.974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199" t="s">
        <v>7</v>
      </c>
      <c r="B151" s="196">
        <f t="shared" si="2"/>
        <v>980.902</v>
      </c>
      <c r="C151" s="196">
        <f>C152+C153+C154</f>
        <v>0</v>
      </c>
      <c r="D151" s="196">
        <f>D152+D153+D154</f>
        <v>0</v>
      </c>
      <c r="E151" s="196">
        <f>E152+E153+E154</f>
        <v>270.106</v>
      </c>
      <c r="F151" s="197">
        <f>F152+F153+F154</f>
        <v>710.796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199" t="s">
        <v>8</v>
      </c>
      <c r="B152" s="196">
        <f t="shared" si="2"/>
        <v>750.208</v>
      </c>
      <c r="C152" s="196"/>
      <c r="D152" s="196"/>
      <c r="E152" s="200">
        <v>255.684</v>
      </c>
      <c r="F152" s="201">
        <v>494.524</v>
      </c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199" t="s">
        <v>39</v>
      </c>
      <c r="B153" s="196">
        <f t="shared" si="2"/>
        <v>83.69999999999999</v>
      </c>
      <c r="C153" s="196"/>
      <c r="D153" s="196"/>
      <c r="E153" s="200">
        <v>11.68</v>
      </c>
      <c r="F153" s="201">
        <v>72.02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199" t="s">
        <v>9</v>
      </c>
      <c r="B154" s="196">
        <f t="shared" si="2"/>
        <v>146.994</v>
      </c>
      <c r="C154" s="196"/>
      <c r="D154" s="196"/>
      <c r="E154" s="200">
        <v>2.742</v>
      </c>
      <c r="F154" s="201">
        <v>144.252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195" t="s">
        <v>5</v>
      </c>
      <c r="B155" s="196">
        <f t="shared" si="2"/>
        <v>3932.9399999999996</v>
      </c>
      <c r="C155" s="196">
        <f>C156+C157+C159</f>
        <v>381.825</v>
      </c>
      <c r="D155" s="196"/>
      <c r="E155" s="196">
        <f>E156+E157+E159</f>
        <v>2340.246</v>
      </c>
      <c r="F155" s="197">
        <f>F156+F157+F159</f>
        <v>1210.869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199" t="s">
        <v>10</v>
      </c>
      <c r="B156" s="196">
        <f t="shared" si="2"/>
        <v>2123.131</v>
      </c>
      <c r="C156" s="196"/>
      <c r="D156" s="196"/>
      <c r="E156" s="196">
        <v>1876.137</v>
      </c>
      <c r="F156" s="197">
        <v>246.994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198" t="s">
        <v>50</v>
      </c>
      <c r="B157" s="196">
        <f t="shared" si="2"/>
        <v>381.825</v>
      </c>
      <c r="C157" s="232">
        <v>381.825</v>
      </c>
      <c r="D157" s="196"/>
      <c r="E157" s="196"/>
      <c r="F157" s="19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198" t="s">
        <v>26</v>
      </c>
      <c r="B158" s="203">
        <f t="shared" si="2"/>
        <v>0.578</v>
      </c>
      <c r="C158" s="232">
        <v>0.578</v>
      </c>
      <c r="D158" s="225"/>
      <c r="E158" s="225"/>
      <c r="F158" s="210"/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199" t="s">
        <v>7</v>
      </c>
      <c r="B159" s="196">
        <f t="shared" si="2"/>
        <v>1427.984</v>
      </c>
      <c r="C159" s="196">
        <f>C160+C161+C162</f>
        <v>0</v>
      </c>
      <c r="D159" s="196">
        <f>D160+D161+D162</f>
        <v>0</v>
      </c>
      <c r="E159" s="196">
        <f>E160+E161+E162</f>
        <v>464.109</v>
      </c>
      <c r="F159" s="197">
        <f>F160+F161+F162</f>
        <v>963.875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199" t="s">
        <v>8</v>
      </c>
      <c r="B160" s="196">
        <f t="shared" si="2"/>
        <v>1097.45</v>
      </c>
      <c r="C160" s="196"/>
      <c r="D160" s="196"/>
      <c r="E160" s="200">
        <v>270.918</v>
      </c>
      <c r="F160" s="201">
        <v>826.532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199" t="s">
        <v>39</v>
      </c>
      <c r="B161" s="196">
        <f t="shared" si="2"/>
        <v>310.485</v>
      </c>
      <c r="C161" s="200"/>
      <c r="D161" s="200"/>
      <c r="E161" s="200">
        <v>173.142</v>
      </c>
      <c r="F161" s="201">
        <f>137.343</f>
        <v>137.343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>
      <c r="A162" s="199" t="s">
        <v>9</v>
      </c>
      <c r="B162" s="196">
        <f t="shared" si="2"/>
        <v>20.049</v>
      </c>
      <c r="C162" s="200"/>
      <c r="D162" s="200"/>
      <c r="E162" s="200">
        <v>20.049</v>
      </c>
      <c r="F162" s="201">
        <v>0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>
      <c r="A163" s="195" t="s">
        <v>17</v>
      </c>
      <c r="B163" s="196">
        <f t="shared" si="2"/>
        <v>7286.557999999999</v>
      </c>
      <c r="C163" s="196"/>
      <c r="D163" s="196"/>
      <c r="E163" s="196">
        <f>E164+E165</f>
        <v>1726.8539999999998</v>
      </c>
      <c r="F163" s="197">
        <f>F164+F165</f>
        <v>5559.704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199" t="s">
        <v>10</v>
      </c>
      <c r="B164" s="196">
        <f t="shared" si="2"/>
        <v>3381.372</v>
      </c>
      <c r="C164" s="196"/>
      <c r="D164" s="196"/>
      <c r="E164" s="196">
        <v>1692.33</v>
      </c>
      <c r="F164" s="197">
        <v>1689.042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199" t="s">
        <v>7</v>
      </c>
      <c r="B165" s="196">
        <f t="shared" si="2"/>
        <v>3905.1859999999997</v>
      </c>
      <c r="C165" s="196">
        <f>C166+C167+C168</f>
        <v>0</v>
      </c>
      <c r="D165" s="196">
        <f>D166+D167+D168</f>
        <v>0</v>
      </c>
      <c r="E165" s="196">
        <f>E166+E167+E168</f>
        <v>34.524</v>
      </c>
      <c r="F165" s="197">
        <f>F166+F167+F168</f>
        <v>3870.662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199" t="s">
        <v>8</v>
      </c>
      <c r="B166" s="196">
        <f t="shared" si="2"/>
        <v>407.56199999999995</v>
      </c>
      <c r="C166" s="200"/>
      <c r="D166" s="196"/>
      <c r="E166" s="200">
        <v>19.621</v>
      </c>
      <c r="F166" s="201">
        <v>387.941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99" t="s">
        <v>39</v>
      </c>
      <c r="B167" s="196">
        <f>C167+D167+E167+F167</f>
        <v>0</v>
      </c>
      <c r="C167" s="196"/>
      <c r="D167" s="196"/>
      <c r="E167" s="200">
        <v>0</v>
      </c>
      <c r="F167" s="201"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 thickBot="1">
      <c r="A168" s="211" t="s">
        <v>9</v>
      </c>
      <c r="B168" s="212">
        <f>C168+D168+E168+F168</f>
        <v>3497.624</v>
      </c>
      <c r="C168" s="213"/>
      <c r="D168" s="212"/>
      <c r="E168" s="213">
        <v>14.903</v>
      </c>
      <c r="F168" s="214">
        <v>3482.721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 thickBot="1">
      <c r="A169" s="246" t="s">
        <v>10</v>
      </c>
      <c r="B169" s="241">
        <f aca="true" t="shared" si="3" ref="B169:B183">C169+D169+E169+F169</f>
        <v>95028.31600000002</v>
      </c>
      <c r="C169" s="242">
        <f>C170+C171+C175</f>
        <v>42305.07800000001</v>
      </c>
      <c r="D169" s="242">
        <f>D170+D171+D175</f>
        <v>2653.9719999999998</v>
      </c>
      <c r="E169" s="242">
        <f>E170+E171+E175</f>
        <v>33470.1078</v>
      </c>
      <c r="F169" s="243">
        <f>F170+F171+F175</f>
        <v>16599.158199999998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>
      <c r="A170" s="215" t="s">
        <v>40</v>
      </c>
      <c r="B170" s="216">
        <f t="shared" si="3"/>
        <v>76169.426</v>
      </c>
      <c r="C170" s="217">
        <f>C9+C24+C32+C40+C48+C56+C62+C68+C76+C84+C90+C98+C106+C112+C118+C126+C132+C138+C144+C150+C156+C164</f>
        <v>29567.27500000001</v>
      </c>
      <c r="D170" s="217">
        <f>D9+D24+D32+D40+D48+D56+D62+D68+D76+D84+D90+D98+D106+D112+D118+D126+D132+D138+D144+D150+D156+D164</f>
        <v>2097.7529999999997</v>
      </c>
      <c r="E170" s="217">
        <f>E9+E24+E32+E40+E48+E56+E62+E68+E76+E84+E90+E98+E106+E112+E118+E126+E132+E138+E144+E150+E156+E164</f>
        <v>28048.502800000002</v>
      </c>
      <c r="F170" s="218">
        <f>F9+F24+F32+F40+F48+F56+F62+F68+F76+F84+F90+F98+F106+F112+F118+F126+F132+F138+F144+F150+F156+F164</f>
        <v>16455.8952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>
      <c r="A171" s="215" t="s">
        <v>42</v>
      </c>
      <c r="B171" s="237">
        <f t="shared" si="3"/>
        <v>17530.525</v>
      </c>
      <c r="C171" s="196">
        <f aca="true" t="shared" si="4" ref="C171:F172">C10+C25+C33+C41+C49+C77+C69+C99+C91+C119+C157</f>
        <v>11409.438000000002</v>
      </c>
      <c r="D171" s="196">
        <f t="shared" si="4"/>
        <v>556.219</v>
      </c>
      <c r="E171" s="196">
        <f t="shared" si="4"/>
        <v>5421.605</v>
      </c>
      <c r="F171" s="197">
        <f t="shared" si="4"/>
        <v>143.26300000000003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215" t="s">
        <v>41</v>
      </c>
      <c r="B172" s="237">
        <f t="shared" si="3"/>
        <v>35.296</v>
      </c>
      <c r="C172" s="196">
        <f t="shared" si="4"/>
        <v>23.166999999999994</v>
      </c>
      <c r="D172" s="196">
        <f t="shared" si="4"/>
        <v>1.515</v>
      </c>
      <c r="E172" s="196">
        <f t="shared" si="4"/>
        <v>10.243</v>
      </c>
      <c r="F172" s="197">
        <f t="shared" si="4"/>
        <v>0.371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99" t="s">
        <v>45</v>
      </c>
      <c r="B173" s="237">
        <f t="shared" si="3"/>
        <v>3781.75</v>
      </c>
      <c r="C173" s="196">
        <f>C16</f>
        <v>3781.75</v>
      </c>
      <c r="D173" s="196">
        <f>D16</f>
        <v>0</v>
      </c>
      <c r="E173" s="196">
        <f>E16</f>
        <v>0</v>
      </c>
      <c r="F173" s="197">
        <f>F16</f>
        <v>0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>
      <c r="A174" s="215" t="s">
        <v>46</v>
      </c>
      <c r="B174" s="237">
        <f t="shared" si="3"/>
        <v>7.04</v>
      </c>
      <c r="C174" s="196">
        <f>C18</f>
        <v>7.04</v>
      </c>
      <c r="D174" s="196">
        <f>D18</f>
        <v>0</v>
      </c>
      <c r="E174" s="196">
        <f>E18</f>
        <v>0</v>
      </c>
      <c r="F174" s="197">
        <f>F18</f>
        <v>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3.25">
      <c r="A175" s="238" t="s">
        <v>22</v>
      </c>
      <c r="B175" s="237">
        <f t="shared" si="3"/>
        <v>1328.365</v>
      </c>
      <c r="C175" s="196">
        <f>C7</f>
        <v>1328.365</v>
      </c>
      <c r="D175" s="196"/>
      <c r="E175" s="196"/>
      <c r="F175" s="197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 thickBot="1">
      <c r="A176" s="238" t="s">
        <v>23</v>
      </c>
      <c r="B176" s="239">
        <f t="shared" si="3"/>
        <v>3.135</v>
      </c>
      <c r="C176" s="212">
        <f>C8</f>
        <v>3.135</v>
      </c>
      <c r="D176" s="212"/>
      <c r="E176" s="212"/>
      <c r="F176" s="240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233" t="s">
        <v>11</v>
      </c>
      <c r="B177" s="241">
        <f t="shared" si="3"/>
        <v>31615.502</v>
      </c>
      <c r="C177" s="242">
        <f>C178+C179+C180</f>
        <v>154.66299999999998</v>
      </c>
      <c r="D177" s="242">
        <f>D178+D179+D180</f>
        <v>1.63</v>
      </c>
      <c r="E177" s="242">
        <f>E178+E179+E180</f>
        <v>1821.9850000000001</v>
      </c>
      <c r="F177" s="243">
        <f>F178+F179+F180</f>
        <v>29637.224000000002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>
      <c r="A178" s="244" t="s">
        <v>8</v>
      </c>
      <c r="B178" s="216">
        <f t="shared" si="3"/>
        <v>12368.739</v>
      </c>
      <c r="C178" s="217">
        <f aca="true" t="shared" si="5" ref="C178:F180">C13+C20+C28+C36+C44+C52+C58+C64+C72+C80+C86+C94+C102+C108+C114+C122+C128+C134+C140+C146+C152+C160+C166</f>
        <v>0.5830000000000004</v>
      </c>
      <c r="D178" s="217">
        <f t="shared" si="5"/>
        <v>0</v>
      </c>
      <c r="E178" s="217">
        <f t="shared" si="5"/>
        <v>1056.096</v>
      </c>
      <c r="F178" s="218">
        <f t="shared" si="5"/>
        <v>11312.06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3.25">
      <c r="A179" s="245" t="s">
        <v>39</v>
      </c>
      <c r="B179" s="237">
        <f>C179+D179+E179+F179</f>
        <v>594.474</v>
      </c>
      <c r="C179" s="196">
        <f t="shared" si="5"/>
        <v>0</v>
      </c>
      <c r="D179" s="196">
        <f t="shared" si="5"/>
        <v>0</v>
      </c>
      <c r="E179" s="196">
        <f t="shared" si="5"/>
        <v>184.822</v>
      </c>
      <c r="F179" s="197">
        <f t="shared" si="5"/>
        <v>409.65200000000004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246" t="s">
        <v>9</v>
      </c>
      <c r="B180" s="239">
        <f>C180+D180+E180+F180</f>
        <v>18652.289</v>
      </c>
      <c r="C180" s="212">
        <f>C15+C22+C30+C38+C46+C54+C60+C66+C74+C82+C88+C96+C104+C110+C116+C124+C130+C136+C142+C148+C154+C162+C168</f>
        <v>154.07999999999998</v>
      </c>
      <c r="D180" s="212">
        <f t="shared" si="5"/>
        <v>1.63</v>
      </c>
      <c r="E180" s="212">
        <f t="shared" si="5"/>
        <v>581.0669999999999</v>
      </c>
      <c r="F180" s="240">
        <f t="shared" si="5"/>
        <v>17915.512000000002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247" t="s">
        <v>28</v>
      </c>
      <c r="B181" s="258">
        <f t="shared" si="3"/>
        <v>45.471</v>
      </c>
      <c r="C181" s="259">
        <f>C182+C183</f>
        <v>33.34199999999999</v>
      </c>
      <c r="D181" s="259">
        <f>D182+D183</f>
        <v>1.515</v>
      </c>
      <c r="E181" s="259">
        <f>E182+E183</f>
        <v>10.243</v>
      </c>
      <c r="F181" s="260">
        <f>F182+F183</f>
        <v>0.371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3.25">
      <c r="A182" s="251" t="s">
        <v>29</v>
      </c>
      <c r="B182" s="216">
        <f t="shared" si="3"/>
        <v>42.336</v>
      </c>
      <c r="C182" s="217">
        <f>C11+C18+C26+C34+C42+C50+C78+C70+C92+C100+C120+C158</f>
        <v>30.206999999999994</v>
      </c>
      <c r="D182" s="217">
        <f>D11+D18+D26+D34+D42+D50+D78+D70+D92+D100+D120+D158</f>
        <v>1.515</v>
      </c>
      <c r="E182" s="217">
        <f>E11+E18+E26+E34+E42+E50+E78+E70+E92+E100+E120+E158</f>
        <v>10.243</v>
      </c>
      <c r="F182" s="218">
        <f>F11+F18+F26+F34+F42+F50+F78+F70+F92+F100+F120+F158</f>
        <v>0.371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4" thickBot="1">
      <c r="A183" s="252" t="s">
        <v>37</v>
      </c>
      <c r="B183" s="239">
        <f t="shared" si="3"/>
        <v>3.135</v>
      </c>
      <c r="C183" s="212">
        <f>C8</f>
        <v>3.135</v>
      </c>
      <c r="D183" s="212">
        <f>D8</f>
        <v>0</v>
      </c>
      <c r="E183" s="212">
        <f>E8</f>
        <v>0</v>
      </c>
      <c r="F183" s="240">
        <f>F8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261"/>
      <c r="B184" s="254"/>
      <c r="C184" s="254"/>
      <c r="D184" s="254"/>
      <c r="E184" s="254"/>
      <c r="F184" s="2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262" t="s">
        <v>51</v>
      </c>
      <c r="B185" s="248">
        <f>C185+D185+E185+F185</f>
        <v>80997.53000000001</v>
      </c>
      <c r="C185" s="250">
        <f>C5</f>
        <v>25824.227000000006</v>
      </c>
      <c r="D185" s="250">
        <f>D5</f>
        <v>1949.093</v>
      </c>
      <c r="E185" s="250">
        <f>E5</f>
        <v>23610.431000000004</v>
      </c>
      <c r="F185" s="250">
        <f>F5</f>
        <v>29613.779000000002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4" thickBot="1">
      <c r="A186" s="262" t="s">
        <v>53</v>
      </c>
      <c r="B186" s="248">
        <f>C186+D186+E186+F186</f>
        <v>3781.75</v>
      </c>
      <c r="C186" s="236">
        <f>C16</f>
        <v>3781.75</v>
      </c>
      <c r="D186" s="236">
        <f>D16</f>
        <v>0</v>
      </c>
      <c r="E186" s="236">
        <f>E16</f>
        <v>0</v>
      </c>
      <c r="F186" s="236">
        <f>F16</f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4" thickBot="1">
      <c r="A187" s="262" t="s">
        <v>52</v>
      </c>
      <c r="B187" s="248">
        <f>C187+D187+E187+F187</f>
        <v>45646.288</v>
      </c>
      <c r="C187" s="236">
        <f>C23+C31+C39+C47+C55+C61+C67+C75+C83+C89+C97+C105+C111+C117+C125+C131+C137+C143+C149+C155+C163</f>
        <v>16635.514000000003</v>
      </c>
      <c r="D187" s="236">
        <f>D23+D31+D39+D47+D55+D61+D67+D75+D83+D89+D97+D105+D111+D117+D125+D131+D137+D143+D149+D155+D163</f>
        <v>706.509</v>
      </c>
      <c r="E187" s="236">
        <f>E23+E31+E39+E47+E55+E61+E67+E75+E83+E89+E97+E105+E111+E117+E125+E131+E137+E143+E149+E155+E163</f>
        <v>11681.661799999998</v>
      </c>
      <c r="F187" s="236">
        <f>F23+F31+F39+F47+F55+F61+F67+F75+F83+F89+F97+F105+F111+F117+F125+F131+F137+F143+F149+F155+F163</f>
        <v>16622.6032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4" thickBot="1">
      <c r="A188" s="261"/>
      <c r="B188" s="256">
        <f>C188+D188+E188+F188</f>
        <v>130425.56800000001</v>
      </c>
      <c r="C188" s="248">
        <f>SUM(C185:C187)</f>
        <v>46241.49100000001</v>
      </c>
      <c r="D188" s="248">
        <f>SUM(D185:D187)</f>
        <v>2655.602</v>
      </c>
      <c r="E188" s="248">
        <f>SUM(E185:E187)</f>
        <v>35292.0928</v>
      </c>
      <c r="F188" s="248">
        <f>SUM(F185:F187)</f>
        <v>46236.38220000001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261"/>
      <c r="B189" s="254"/>
      <c r="C189" s="254"/>
      <c r="D189" s="254"/>
      <c r="E189" s="254"/>
      <c r="F189" s="254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4" thickBot="1">
      <c r="A190" s="253"/>
      <c r="B190" s="254"/>
      <c r="C190" s="254"/>
      <c r="D190" s="254"/>
      <c r="E190" s="254"/>
      <c r="F190" s="2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4" thickBot="1">
      <c r="A191" s="255" t="s">
        <v>67</v>
      </c>
      <c r="B191" s="248">
        <f>C191+D191+E191+F191</f>
        <v>130425.568</v>
      </c>
      <c r="C191" s="250">
        <f>C5+C16+C23+C31+C39+C47+C55+C61+C67+C75+C83+C89+C97+C105+C111+C117+C125+C131+C137+C143+C149+C155+C163</f>
        <v>46241.491</v>
      </c>
      <c r="D191" s="250">
        <f>D5+D16+D23+D31+D39+D47+D55+D61+D67+D75+D83+D89+D97+D105+D111+D117+D125+D131+D137+D143+D149+D155+D163</f>
        <v>2655.602</v>
      </c>
      <c r="E191" s="250">
        <f>E5+E16+E23+E31+E39+E47+E55+E61+E67+E75+E83+E89+E97+E105+E111+E117+E125+E131+E137+E143+E149+E155+E163</f>
        <v>35292.0928</v>
      </c>
      <c r="F191" s="250">
        <f>F5+F16+F23+F31+F39+F47+F55+F61+F67+F75+F83+F89+F97+F105+F111+F117+F125+F131+F137+F143+F149+F155+F163</f>
        <v>46236.3822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zoomScale="60" zoomScaleNormal="60" workbookViewId="0" topLeftCell="A1">
      <pane xSplit="1" ySplit="4" topLeftCell="B1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9" sqref="D159"/>
    </sheetView>
  </sheetViews>
  <sheetFormatPr defaultColWidth="9.00390625" defaultRowHeight="12.75"/>
  <cols>
    <col min="1" max="1" width="67.875" style="146" customWidth="1"/>
    <col min="2" max="6" width="25.25390625" style="146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65</v>
      </c>
      <c r="B2" s="277"/>
      <c r="C2" s="277"/>
      <c r="D2" s="277"/>
      <c r="E2" s="277"/>
      <c r="F2" s="277"/>
      <c r="G2" s="63"/>
      <c r="H2" s="63"/>
    </row>
    <row r="3" spans="1:8" ht="24" thickBot="1">
      <c r="A3" s="140"/>
      <c r="B3" s="140"/>
      <c r="C3" s="140"/>
      <c r="D3" s="140"/>
      <c r="E3" s="140"/>
      <c r="F3" s="140"/>
      <c r="G3" s="63"/>
      <c r="H3" s="63"/>
    </row>
    <row r="4" spans="1:18" s="2" customFormat="1" ht="29.25" customHeight="1" thickBot="1">
      <c r="A4" s="79" t="s">
        <v>64</v>
      </c>
      <c r="B4" s="80"/>
      <c r="C4" s="81" t="s">
        <v>0</v>
      </c>
      <c r="D4" s="81" t="s">
        <v>1</v>
      </c>
      <c r="E4" s="81" t="s">
        <v>2</v>
      </c>
      <c r="F4" s="82" t="s">
        <v>3</v>
      </c>
      <c r="G4" s="54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44.25" customHeight="1">
      <c r="A5" s="83" t="s">
        <v>20</v>
      </c>
      <c r="B5" s="35">
        <f aca="true" t="shared" si="0" ref="B5:B68">C5+D5+E5+F5</f>
        <v>78578.042</v>
      </c>
      <c r="C5" s="44">
        <f>C7+C9+C10+C12</f>
        <v>23439.358000000004</v>
      </c>
      <c r="D5" s="44">
        <f>D7+D9+D10+D12</f>
        <v>2303.084</v>
      </c>
      <c r="E5" s="44">
        <f>E7+E9+E10+E12</f>
        <v>22718.721</v>
      </c>
      <c r="F5" s="45">
        <f>F7+F9+F10+F12</f>
        <v>30116.879</v>
      </c>
      <c r="G5" s="70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40.5" customHeight="1">
      <c r="A6" s="65" t="s">
        <v>27</v>
      </c>
      <c r="B6" s="6">
        <f t="shared" si="0"/>
        <v>21.671</v>
      </c>
      <c r="C6" s="11">
        <f>C8+C11</f>
        <v>8.099</v>
      </c>
      <c r="D6" s="11">
        <f>D8+D11</f>
        <v>1.56</v>
      </c>
      <c r="E6" s="11">
        <f>E8+E11</f>
        <v>11.827</v>
      </c>
      <c r="F6" s="12">
        <f>F8+F11</f>
        <v>0.185</v>
      </c>
      <c r="G6" s="70"/>
      <c r="H6" s="54"/>
      <c r="K6" s="54"/>
      <c r="L6" s="54"/>
      <c r="M6" s="54"/>
      <c r="N6" s="54"/>
      <c r="O6" s="54"/>
      <c r="P6" s="54"/>
      <c r="Q6" s="54"/>
      <c r="R6" s="54"/>
    </row>
    <row r="7" spans="1:18" s="3" customFormat="1" ht="24.75" customHeight="1">
      <c r="A7" s="65" t="s">
        <v>22</v>
      </c>
      <c r="B7" s="6">
        <f t="shared" si="0"/>
        <v>1183.306</v>
      </c>
      <c r="C7" s="11">
        <f>1364.57-181.264</f>
        <v>1183.306</v>
      </c>
      <c r="D7" s="11"/>
      <c r="E7" s="11"/>
      <c r="F7" s="12"/>
      <c r="G7" s="70"/>
      <c r="H7" s="54"/>
      <c r="K7" s="54"/>
      <c r="L7" s="54"/>
      <c r="M7" s="54"/>
      <c r="N7" s="54"/>
      <c r="O7" s="54"/>
      <c r="P7" s="54"/>
      <c r="Q7" s="54"/>
      <c r="R7" s="54"/>
    </row>
    <row r="8" spans="1:18" s="3" customFormat="1" ht="24.75" customHeight="1">
      <c r="A8" s="65" t="s">
        <v>23</v>
      </c>
      <c r="B8" s="6">
        <f t="shared" si="0"/>
        <v>2.901</v>
      </c>
      <c r="C8" s="11">
        <v>2.901</v>
      </c>
      <c r="D8" s="11"/>
      <c r="E8" s="11"/>
      <c r="F8" s="12"/>
      <c r="G8" s="70"/>
      <c r="H8" s="54"/>
      <c r="K8" s="54"/>
      <c r="L8" s="54"/>
      <c r="M8" s="54"/>
      <c r="N8" s="54"/>
      <c r="O8" s="54"/>
      <c r="P8" s="54"/>
      <c r="Q8" s="54"/>
      <c r="R8" s="54"/>
    </row>
    <row r="9" spans="1:18" s="3" customFormat="1" ht="30.75" customHeight="1">
      <c r="A9" s="32" t="s">
        <v>24</v>
      </c>
      <c r="B9" s="6">
        <f t="shared" si="0"/>
        <v>47876.314999999995</v>
      </c>
      <c r="C9" s="6">
        <f>22925.639+294.38-78.117-372.5-557.695-3272.549+181.264-2563.325+1183.306+C195+C196+C197</f>
        <v>17740.403000000002</v>
      </c>
      <c r="D9" s="6">
        <f>2391.951-D10-90.487</f>
        <v>1760.119</v>
      </c>
      <c r="E9" s="6">
        <f>15996.704+1651.601+540.327-531.883+10.035-448.434-1532.07</f>
        <v>15686.279999999999</v>
      </c>
      <c r="F9" s="7">
        <f>11406.468-F10+1437.463-10.035-91.004+60</f>
        <v>12689.512999999999</v>
      </c>
      <c r="G9" s="18"/>
      <c r="H9" s="54"/>
      <c r="K9" s="54"/>
      <c r="L9" s="54"/>
      <c r="M9" s="54"/>
      <c r="N9" s="54"/>
      <c r="O9" s="54"/>
      <c r="P9" s="54"/>
      <c r="Q9" s="54"/>
      <c r="R9" s="54"/>
    </row>
    <row r="10" spans="1:18" s="30" customFormat="1" ht="24" customHeight="1">
      <c r="A10" s="32" t="s">
        <v>25</v>
      </c>
      <c r="B10" s="84">
        <f t="shared" si="0"/>
        <v>11527.513</v>
      </c>
      <c r="C10" s="85">
        <f>2563.325+3111.534-1183.306-C195-C196-C197</f>
        <v>4491.553</v>
      </c>
      <c r="D10" s="84">
        <v>541.345</v>
      </c>
      <c r="E10" s="84">
        <v>6381.236</v>
      </c>
      <c r="F10" s="86">
        <v>113.379</v>
      </c>
      <c r="G10" s="71"/>
      <c r="H10" s="55"/>
      <c r="K10" s="55"/>
      <c r="L10" s="55"/>
      <c r="M10" s="55"/>
      <c r="N10" s="55"/>
      <c r="O10" s="55"/>
      <c r="P10" s="55"/>
      <c r="Q10" s="55"/>
      <c r="R10" s="55"/>
    </row>
    <row r="11" spans="1:18" s="30" customFormat="1" ht="24.75" customHeight="1">
      <c r="A11" s="32" t="s">
        <v>26</v>
      </c>
      <c r="B11" s="84">
        <f t="shared" si="0"/>
        <v>18.77</v>
      </c>
      <c r="C11" s="85">
        <f>1.485+5.924-1.235+1.235+0.69-C8</f>
        <v>5.198</v>
      </c>
      <c r="D11" s="84">
        <v>1.56</v>
      </c>
      <c r="E11" s="84">
        <v>11.827</v>
      </c>
      <c r="F11" s="86">
        <v>0.185</v>
      </c>
      <c r="G11" s="71"/>
      <c r="H11" s="55"/>
      <c r="K11" s="55"/>
      <c r="L11" s="55"/>
      <c r="M11" s="55"/>
      <c r="N11" s="55"/>
      <c r="O11" s="55"/>
      <c r="P11" s="55"/>
      <c r="Q11" s="55"/>
      <c r="R11" s="55"/>
    </row>
    <row r="12" spans="1:18" s="3" customFormat="1" ht="20.25" customHeight="1">
      <c r="A12" s="26" t="s">
        <v>7</v>
      </c>
      <c r="B12" s="6">
        <f t="shared" si="0"/>
        <v>17990.908</v>
      </c>
      <c r="C12" s="6">
        <f>C13+C14+C15</f>
        <v>24.096</v>
      </c>
      <c r="D12" s="6">
        <f>D13+D14+D15</f>
        <v>1.62</v>
      </c>
      <c r="E12" s="6">
        <f>E13+E14+E15</f>
        <v>651.205</v>
      </c>
      <c r="F12" s="7">
        <f>F13+F14+F15</f>
        <v>17313.987</v>
      </c>
      <c r="G12" s="7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21.75" customHeight="1">
      <c r="A13" s="26" t="s">
        <v>8</v>
      </c>
      <c r="B13" s="6">
        <f t="shared" si="0"/>
        <v>5169.59</v>
      </c>
      <c r="C13" s="9">
        <f>18.542-18.542</f>
        <v>0</v>
      </c>
      <c r="D13" s="9">
        <v>0</v>
      </c>
      <c r="E13" s="9">
        <f>259.241-30</f>
        <v>229.24099999999999</v>
      </c>
      <c r="F13" s="10">
        <f>5048.196+264.133-521.98+150</f>
        <v>4940.349</v>
      </c>
      <c r="G13" s="20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21.75" customHeight="1">
      <c r="A14" s="26" t="s">
        <v>39</v>
      </c>
      <c r="B14" s="6">
        <f t="shared" si="0"/>
        <v>0</v>
      </c>
      <c r="C14" s="9">
        <v>0</v>
      </c>
      <c r="D14" s="9">
        <v>0</v>
      </c>
      <c r="E14" s="9">
        <v>0</v>
      </c>
      <c r="F14" s="10">
        <v>0</v>
      </c>
      <c r="G14" s="20"/>
      <c r="H14" s="54"/>
      <c r="K14" s="54"/>
      <c r="L14" s="54"/>
      <c r="M14" s="54"/>
      <c r="N14" s="54"/>
      <c r="O14" s="54"/>
      <c r="P14" s="54"/>
      <c r="Q14" s="54"/>
      <c r="R14" s="54"/>
    </row>
    <row r="15" spans="1:18" s="3" customFormat="1" ht="24.75" customHeight="1">
      <c r="A15" s="26" t="s">
        <v>9</v>
      </c>
      <c r="B15" s="6">
        <f t="shared" si="0"/>
        <v>12821.318000000001</v>
      </c>
      <c r="C15" s="9">
        <v>24.096</v>
      </c>
      <c r="D15" s="9">
        <v>1.62</v>
      </c>
      <c r="E15" s="9">
        <f>828.964-407</f>
        <v>421.96400000000006</v>
      </c>
      <c r="F15" s="10">
        <f>11656.395-27.237+521.98+222.5</f>
        <v>12373.638</v>
      </c>
      <c r="G15" s="20"/>
      <c r="H15" s="54"/>
      <c r="K15" s="54"/>
      <c r="L15" s="54"/>
      <c r="M15" s="54"/>
      <c r="N15" s="54"/>
      <c r="O15" s="54"/>
      <c r="P15" s="54"/>
      <c r="Q15" s="54"/>
      <c r="R15" s="54"/>
    </row>
    <row r="16" spans="1:18" s="3" customFormat="1" ht="47.25" customHeight="1">
      <c r="A16" s="65" t="s">
        <v>43</v>
      </c>
      <c r="B16" s="6">
        <f t="shared" si="0"/>
        <v>4095.671</v>
      </c>
      <c r="C16" s="11">
        <f>C17+C19</f>
        <v>4095.671</v>
      </c>
      <c r="D16" s="11">
        <f>D17+D19</f>
        <v>0</v>
      </c>
      <c r="E16" s="11">
        <f>E17+E19</f>
        <v>0</v>
      </c>
      <c r="F16" s="12">
        <f>F17+F19</f>
        <v>0</v>
      </c>
      <c r="G16" s="58"/>
      <c r="H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24.75" customHeight="1">
      <c r="A17" s="26" t="s">
        <v>10</v>
      </c>
      <c r="B17" s="47">
        <f t="shared" si="0"/>
        <v>4095.671</v>
      </c>
      <c r="C17" s="131">
        <f>4095.671</f>
        <v>4095.671</v>
      </c>
      <c r="D17" s="132"/>
      <c r="E17" s="132"/>
      <c r="F17" s="13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0" customFormat="1" ht="26.25" customHeight="1">
      <c r="A18" s="32" t="s">
        <v>44</v>
      </c>
      <c r="B18" s="72">
        <f t="shared" si="0"/>
        <v>8.47</v>
      </c>
      <c r="C18" s="131">
        <v>8.47</v>
      </c>
      <c r="D18" s="137"/>
      <c r="E18" s="137"/>
      <c r="F18" s="138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3" customFormat="1" ht="24.75" customHeight="1">
      <c r="A19" s="26" t="s">
        <v>7</v>
      </c>
      <c r="B19" s="6">
        <f t="shared" si="0"/>
        <v>0</v>
      </c>
      <c r="C19" s="11">
        <f>C20+C21+C22</f>
        <v>0</v>
      </c>
      <c r="D19" s="11">
        <f>D20+D21+D22</f>
        <v>0</v>
      </c>
      <c r="E19" s="11">
        <f>E20+E21+E22</f>
        <v>0</v>
      </c>
      <c r="F19" s="12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24.75" customHeight="1">
      <c r="A20" s="26" t="s">
        <v>8</v>
      </c>
      <c r="B20" s="6">
        <f t="shared" si="0"/>
        <v>0</v>
      </c>
      <c r="C20" s="134"/>
      <c r="D20" s="134"/>
      <c r="E20" s="134"/>
      <c r="F20" s="135"/>
      <c r="G20" s="87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20.25" customHeight="1">
      <c r="A21" s="26" t="s">
        <v>39</v>
      </c>
      <c r="B21" s="6">
        <f>C21+D21+E21+F21</f>
        <v>0</v>
      </c>
      <c r="C21" s="9"/>
      <c r="D21" s="9"/>
      <c r="E21" s="9"/>
      <c r="F21" s="10"/>
      <c r="G21" s="60"/>
      <c r="H21" s="60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24.75" customHeight="1">
      <c r="A22" s="26" t="s">
        <v>9</v>
      </c>
      <c r="B22" s="136">
        <f t="shared" si="0"/>
        <v>0</v>
      </c>
      <c r="C22" s="132"/>
      <c r="D22" s="132"/>
      <c r="E22" s="132"/>
      <c r="F22" s="13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0.75" customHeight="1">
      <c r="A23" s="65" t="s">
        <v>19</v>
      </c>
      <c r="B23" s="6">
        <f t="shared" si="0"/>
        <v>6357.424</v>
      </c>
      <c r="C23" s="11">
        <f>C24+C25</f>
        <v>983.0139999999999</v>
      </c>
      <c r="D23" s="11"/>
      <c r="E23" s="11">
        <f>E24+E25</f>
        <v>2241.075</v>
      </c>
      <c r="F23" s="12">
        <f>F24+F25</f>
        <v>3133.335</v>
      </c>
      <c r="G23" s="88"/>
      <c r="H23" s="75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21.75" customHeight="1">
      <c r="A24" s="26" t="s">
        <v>10</v>
      </c>
      <c r="B24" s="6">
        <f t="shared" si="0"/>
        <v>4103.455</v>
      </c>
      <c r="C24" s="6">
        <v>874.56</v>
      </c>
      <c r="D24" s="6"/>
      <c r="E24" s="6">
        <v>2007.147</v>
      </c>
      <c r="F24" s="7">
        <v>1221.748</v>
      </c>
      <c r="G24" s="75"/>
      <c r="H24" s="75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19.5" customHeight="1">
      <c r="A25" s="26" t="s">
        <v>7</v>
      </c>
      <c r="B25" s="6">
        <f t="shared" si="0"/>
        <v>2253.969</v>
      </c>
      <c r="C25" s="11">
        <f>C26+C27+C28</f>
        <v>108.45400000000001</v>
      </c>
      <c r="D25" s="11">
        <f>D26+D27+D28</f>
        <v>0</v>
      </c>
      <c r="E25" s="11">
        <f>E26+E27+E28</f>
        <v>233.92799999999997</v>
      </c>
      <c r="F25" s="12">
        <f>F26+F27+F28</f>
        <v>1911.587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19.5" customHeight="1">
      <c r="A26" s="26" t="s">
        <v>8</v>
      </c>
      <c r="B26" s="6">
        <f t="shared" si="0"/>
        <v>1380.374</v>
      </c>
      <c r="C26" s="9">
        <v>0</v>
      </c>
      <c r="D26" s="9"/>
      <c r="E26" s="9">
        <v>80.66</v>
      </c>
      <c r="F26" s="10">
        <v>1299.714</v>
      </c>
      <c r="G26" s="69"/>
      <c r="H26" s="69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20.25" customHeight="1">
      <c r="A27" s="26" t="s">
        <v>39</v>
      </c>
      <c r="B27" s="6">
        <f t="shared" si="0"/>
        <v>0</v>
      </c>
      <c r="C27" s="9"/>
      <c r="D27" s="9"/>
      <c r="E27" s="9"/>
      <c r="F27" s="10"/>
      <c r="G27" s="60"/>
      <c r="H27" s="60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19.5" customHeight="1">
      <c r="A28" s="26" t="s">
        <v>9</v>
      </c>
      <c r="B28" s="6">
        <f t="shared" si="0"/>
        <v>873.595</v>
      </c>
      <c r="C28" s="9">
        <f>129.55-21.096</f>
        <v>108.45400000000001</v>
      </c>
      <c r="D28" s="9"/>
      <c r="E28" s="9">
        <f>253.795-100.527</f>
        <v>153.26799999999997</v>
      </c>
      <c r="F28" s="10">
        <v>611.873</v>
      </c>
      <c r="G28" s="69"/>
      <c r="H28" s="69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5.25" customHeight="1">
      <c r="A29" s="65" t="s">
        <v>55</v>
      </c>
      <c r="B29" s="6">
        <f t="shared" si="0"/>
        <v>1473.562</v>
      </c>
      <c r="C29" s="11">
        <f>C30+C31</f>
        <v>1473.562</v>
      </c>
      <c r="D29" s="6"/>
      <c r="E29" s="6"/>
      <c r="F29" s="7"/>
      <c r="G29" s="64"/>
      <c r="H29" s="6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19.5" customHeight="1">
      <c r="A30" s="26" t="s">
        <v>10</v>
      </c>
      <c r="B30" s="6">
        <f t="shared" si="0"/>
        <v>1473.042</v>
      </c>
      <c r="C30" s="6">
        <v>1473.042</v>
      </c>
      <c r="D30" s="6"/>
      <c r="E30" s="11"/>
      <c r="F30" s="12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27.75" customHeight="1">
      <c r="A31" s="26" t="s">
        <v>7</v>
      </c>
      <c r="B31" s="6">
        <f t="shared" si="0"/>
        <v>0.52</v>
      </c>
      <c r="C31" s="11">
        <f>C32+C33+C34</f>
        <v>0.52</v>
      </c>
      <c r="D31" s="11">
        <f>D32+D33+D34</f>
        <v>0</v>
      </c>
      <c r="E31" s="11">
        <f>E32+E33+E34</f>
        <v>0</v>
      </c>
      <c r="F31" s="12">
        <f>F32+F33+F34</f>
        <v>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19.5" customHeight="1">
      <c r="A32" s="26" t="s">
        <v>8</v>
      </c>
      <c r="B32" s="6">
        <f t="shared" si="0"/>
        <v>0.52</v>
      </c>
      <c r="C32" s="9">
        <f>1.939-1.419</f>
        <v>0.52</v>
      </c>
      <c r="D32" s="9"/>
      <c r="E32" s="9"/>
      <c r="F32" s="10"/>
      <c r="G32" s="58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20.25" customHeight="1">
      <c r="A33" s="26" t="s">
        <v>39</v>
      </c>
      <c r="B33" s="6">
        <f>C33+D33+E33+F33</f>
        <v>0</v>
      </c>
      <c r="C33" s="9"/>
      <c r="D33" s="9"/>
      <c r="E33" s="9"/>
      <c r="F33" s="10"/>
      <c r="G33" s="60"/>
      <c r="H33" s="60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19.5" customHeight="1">
      <c r="A34" s="26" t="s">
        <v>9</v>
      </c>
      <c r="B34" s="6">
        <f t="shared" si="0"/>
        <v>0</v>
      </c>
      <c r="C34" s="9"/>
      <c r="D34" s="9"/>
      <c r="E34" s="9"/>
      <c r="F34" s="10"/>
      <c r="G34" s="58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42.75" customHeight="1">
      <c r="A35" s="65" t="s">
        <v>61</v>
      </c>
      <c r="B35" s="6">
        <f t="shared" si="0"/>
        <v>0</v>
      </c>
      <c r="C35" s="11">
        <f>C36+C37</f>
        <v>0</v>
      </c>
      <c r="D35" s="11">
        <f>D36+D37</f>
        <v>0</v>
      </c>
      <c r="E35" s="11">
        <f>E36+E37</f>
        <v>0</v>
      </c>
      <c r="F35" s="12">
        <f>F36+F37</f>
        <v>0</v>
      </c>
      <c r="G35" s="64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21.75" customHeight="1">
      <c r="A36" s="26" t="s">
        <v>10</v>
      </c>
      <c r="B36" s="6">
        <f t="shared" si="0"/>
        <v>0</v>
      </c>
      <c r="C36" s="6"/>
      <c r="D36" s="6"/>
      <c r="E36" s="6"/>
      <c r="F36" s="7"/>
      <c r="G36" s="64"/>
      <c r="H36" s="58"/>
      <c r="I36" s="58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21" customHeight="1">
      <c r="A37" s="26" t="s">
        <v>7</v>
      </c>
      <c r="B37" s="6">
        <f t="shared" si="0"/>
        <v>0</v>
      </c>
      <c r="C37" s="11">
        <f>C38+C39+C40</f>
        <v>0</v>
      </c>
      <c r="D37" s="11">
        <f>D38+D39+D40</f>
        <v>0</v>
      </c>
      <c r="E37" s="11">
        <f>E38+E39+E40</f>
        <v>0</v>
      </c>
      <c r="F37" s="12">
        <f>F38+F39+F40</f>
        <v>0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21.75" customHeight="1">
      <c r="A38" s="26" t="s">
        <v>8</v>
      </c>
      <c r="B38" s="6">
        <f t="shared" si="0"/>
        <v>0</v>
      </c>
      <c r="C38" s="9"/>
      <c r="D38" s="9"/>
      <c r="E38" s="9"/>
      <c r="F38" s="10"/>
      <c r="G38" s="69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20.25" customHeight="1">
      <c r="A39" s="26" t="s">
        <v>39</v>
      </c>
      <c r="B39" s="6">
        <f t="shared" si="0"/>
        <v>0</v>
      </c>
      <c r="C39" s="9"/>
      <c r="D39" s="9"/>
      <c r="E39" s="9"/>
      <c r="F39" s="10"/>
      <c r="G39" s="60"/>
      <c r="H39" s="60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" customFormat="1" ht="21" customHeight="1">
      <c r="A40" s="26" t="s">
        <v>9</v>
      </c>
      <c r="B40" s="6">
        <f t="shared" si="0"/>
        <v>0</v>
      </c>
      <c r="C40" s="9"/>
      <c r="D40" s="9"/>
      <c r="E40" s="9"/>
      <c r="F40" s="10"/>
      <c r="G40" s="69"/>
      <c r="H40" s="58"/>
      <c r="I40" s="58"/>
      <c r="J40" s="54"/>
      <c r="K40" s="54"/>
      <c r="L40" s="54"/>
      <c r="M40" s="54"/>
      <c r="N40" s="54"/>
      <c r="O40" s="54"/>
      <c r="P40" s="54"/>
      <c r="Q40" s="54"/>
      <c r="R40" s="54"/>
    </row>
    <row r="41" spans="1:18" s="3" customFormat="1" ht="39" customHeight="1">
      <c r="A41" s="65" t="s">
        <v>47</v>
      </c>
      <c r="B41" s="6">
        <f t="shared" si="0"/>
        <v>12177.488000000001</v>
      </c>
      <c r="C41" s="11">
        <f>C42+C43+C45</f>
        <v>6076.44</v>
      </c>
      <c r="D41" s="11"/>
      <c r="E41" s="11">
        <f>E42+E45</f>
        <v>2106.729</v>
      </c>
      <c r="F41" s="12">
        <f>F42+F45</f>
        <v>3994.3190000000004</v>
      </c>
      <c r="G41" s="64"/>
      <c r="H41" s="58"/>
      <c r="I41" s="58"/>
      <c r="J41" s="54"/>
      <c r="K41" s="54"/>
      <c r="L41" s="54"/>
      <c r="M41" s="54"/>
      <c r="N41" s="54"/>
      <c r="O41" s="54"/>
      <c r="P41" s="54"/>
      <c r="Q41" s="54"/>
      <c r="R41" s="54"/>
    </row>
    <row r="42" spans="1:18" s="3" customFormat="1" ht="39.75" customHeight="1">
      <c r="A42" s="32" t="s">
        <v>21</v>
      </c>
      <c r="B42" s="6">
        <f t="shared" si="0"/>
        <v>5060.986999999999</v>
      </c>
      <c r="C42" s="6">
        <f>6076.44-C43</f>
        <v>1814.4899999999998</v>
      </c>
      <c r="D42" s="6"/>
      <c r="E42" s="11">
        <v>2026.771</v>
      </c>
      <c r="F42" s="12">
        <v>1219.726</v>
      </c>
      <c r="G42" s="58"/>
      <c r="H42" s="58"/>
      <c r="I42" s="58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0" customFormat="1" ht="44.25" customHeight="1">
      <c r="A43" s="89" t="s">
        <v>36</v>
      </c>
      <c r="B43" s="6">
        <f t="shared" si="0"/>
        <v>4261.95</v>
      </c>
      <c r="C43" s="6">
        <v>4261.95</v>
      </c>
      <c r="D43" s="6"/>
      <c r="E43" s="6"/>
      <c r="F43" s="7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</row>
    <row r="44" spans="1:18" s="30" customFormat="1" ht="30.75" customHeight="1">
      <c r="A44" s="32" t="s">
        <v>26</v>
      </c>
      <c r="B44" s="84">
        <f t="shared" si="0"/>
        <v>6.486</v>
      </c>
      <c r="C44" s="85">
        <v>6.486</v>
      </c>
      <c r="D44" s="84"/>
      <c r="E44" s="84"/>
      <c r="F44" s="3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s="3" customFormat="1" ht="20.25" customHeight="1">
      <c r="A45" s="26" t="s">
        <v>7</v>
      </c>
      <c r="B45" s="6">
        <f t="shared" si="0"/>
        <v>2854.5510000000004</v>
      </c>
      <c r="C45" s="11">
        <f>C46+C47+C48</f>
        <v>0</v>
      </c>
      <c r="D45" s="11">
        <f>D46+D47+D48</f>
        <v>0</v>
      </c>
      <c r="E45" s="11">
        <f>E46+E47+E48</f>
        <v>79.958</v>
      </c>
      <c r="F45" s="12">
        <f>F46+F47+F48</f>
        <v>2774.5930000000003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20.25" customHeight="1">
      <c r="A46" s="26" t="s">
        <v>8</v>
      </c>
      <c r="B46" s="6">
        <f t="shared" si="0"/>
        <v>2638.045</v>
      </c>
      <c r="C46" s="9"/>
      <c r="D46" s="9"/>
      <c r="E46" s="9">
        <v>79.958</v>
      </c>
      <c r="F46" s="10">
        <v>2558.087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20.25" customHeight="1">
      <c r="A47" s="26" t="s">
        <v>39</v>
      </c>
      <c r="B47" s="6">
        <f t="shared" si="0"/>
        <v>181.62400000000002</v>
      </c>
      <c r="C47" s="9"/>
      <c r="D47" s="9"/>
      <c r="E47" s="9"/>
      <c r="F47" s="10">
        <f>128.734+52.89</f>
        <v>181.62400000000002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20.25" customHeight="1">
      <c r="A48" s="26" t="s">
        <v>9</v>
      </c>
      <c r="B48" s="6">
        <f t="shared" si="0"/>
        <v>34.882</v>
      </c>
      <c r="C48" s="9"/>
      <c r="D48" s="9"/>
      <c r="E48" s="9"/>
      <c r="F48" s="10">
        <v>34.882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9.75" customHeight="1">
      <c r="A49" s="65" t="s">
        <v>60</v>
      </c>
      <c r="B49" s="6">
        <f t="shared" si="0"/>
        <v>109.122</v>
      </c>
      <c r="C49" s="11"/>
      <c r="D49" s="11"/>
      <c r="E49" s="11">
        <f>E50+E51</f>
        <v>61.42</v>
      </c>
      <c r="F49" s="12">
        <f>F50+F51</f>
        <v>47.702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22.5" customHeight="1">
      <c r="A50" s="26" t="s">
        <v>10</v>
      </c>
      <c r="B50" s="6">
        <f t="shared" si="0"/>
        <v>83.021</v>
      </c>
      <c r="C50" s="6"/>
      <c r="D50" s="6"/>
      <c r="E50" s="11">
        <v>61.42</v>
      </c>
      <c r="F50" s="12">
        <v>21.601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24.75" customHeight="1">
      <c r="A51" s="26" t="s">
        <v>7</v>
      </c>
      <c r="B51" s="6">
        <f t="shared" si="0"/>
        <v>26.101000000000003</v>
      </c>
      <c r="C51" s="11">
        <f>C52+C53+C54</f>
        <v>0</v>
      </c>
      <c r="D51" s="11">
        <f>D52+D53+D54</f>
        <v>0</v>
      </c>
      <c r="E51" s="11">
        <f>E52+E53+E54</f>
        <v>0</v>
      </c>
      <c r="F51" s="12">
        <f>F52+F53+F54</f>
        <v>26.101000000000003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3" customFormat="1" ht="18" customHeight="1">
      <c r="A52" s="26" t="s">
        <v>8</v>
      </c>
      <c r="B52" s="6">
        <f t="shared" si="0"/>
        <v>21.036</v>
      </c>
      <c r="C52" s="9"/>
      <c r="D52" s="9"/>
      <c r="E52" s="9"/>
      <c r="F52" s="10">
        <v>21.036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3" customFormat="1" ht="20.25" customHeight="1">
      <c r="A53" s="26" t="s">
        <v>39</v>
      </c>
      <c r="B53" s="6">
        <f>C53+D53+E53+F53</f>
        <v>0</v>
      </c>
      <c r="C53" s="9"/>
      <c r="D53" s="9"/>
      <c r="E53" s="9"/>
      <c r="F53" s="10"/>
      <c r="G53" s="60"/>
      <c r="H53" s="60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3" customFormat="1" ht="18" customHeight="1">
      <c r="A54" s="26" t="s">
        <v>9</v>
      </c>
      <c r="B54" s="6">
        <f t="shared" si="0"/>
        <v>5.065</v>
      </c>
      <c r="C54" s="9"/>
      <c r="D54" s="9"/>
      <c r="E54" s="9"/>
      <c r="F54" s="10">
        <v>5.065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40.5" customHeight="1">
      <c r="A55" s="65" t="s">
        <v>59</v>
      </c>
      <c r="B55" s="6">
        <f t="shared" si="0"/>
        <v>13.233</v>
      </c>
      <c r="C55" s="11">
        <f>C56+C57</f>
        <v>0</v>
      </c>
      <c r="D55" s="11"/>
      <c r="E55" s="11">
        <f>E56+E57</f>
        <v>0</v>
      </c>
      <c r="F55" s="12">
        <f>F56+F57</f>
        <v>13.233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117" customFormat="1" ht="23.25" customHeight="1">
      <c r="A56" s="26" t="s">
        <v>10</v>
      </c>
      <c r="B56" s="6">
        <f t="shared" si="0"/>
        <v>13.233</v>
      </c>
      <c r="C56" s="6"/>
      <c r="D56" s="6"/>
      <c r="E56" s="6"/>
      <c r="F56" s="7">
        <v>13.233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23.25" customHeight="1">
      <c r="A57" s="26" t="s">
        <v>7</v>
      </c>
      <c r="B57" s="6">
        <f t="shared" si="0"/>
        <v>0</v>
      </c>
      <c r="C57" s="11">
        <f>C58+C59+C60</f>
        <v>0</v>
      </c>
      <c r="D57" s="11">
        <f>D58+D59+D60</f>
        <v>0</v>
      </c>
      <c r="E57" s="11">
        <f>E58+E59+E60</f>
        <v>0</v>
      </c>
      <c r="F57" s="12">
        <f>F58+F59+F60</f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23.25" customHeight="1">
      <c r="A58" s="26" t="s">
        <v>8</v>
      </c>
      <c r="B58" s="6">
        <f t="shared" si="0"/>
        <v>0</v>
      </c>
      <c r="C58" s="11"/>
      <c r="D58" s="11"/>
      <c r="E58" s="11"/>
      <c r="F58" s="10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3" customFormat="1" ht="20.25" customHeight="1">
      <c r="A59" s="26" t="s">
        <v>39</v>
      </c>
      <c r="B59" s="6">
        <f t="shared" si="0"/>
        <v>0</v>
      </c>
      <c r="C59" s="9"/>
      <c r="D59" s="9"/>
      <c r="E59" s="9"/>
      <c r="F59" s="10"/>
      <c r="G59" s="60"/>
      <c r="H59" s="60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23.25" customHeight="1">
      <c r="A60" s="26" t="s">
        <v>9</v>
      </c>
      <c r="B60" s="6">
        <f t="shared" si="0"/>
        <v>0</v>
      </c>
      <c r="C60" s="11"/>
      <c r="D60" s="11"/>
      <c r="E60" s="11"/>
      <c r="F60" s="10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8.25" customHeight="1">
      <c r="A61" s="65" t="s">
        <v>48</v>
      </c>
      <c r="B61" s="6">
        <f t="shared" si="0"/>
        <v>2384.042</v>
      </c>
      <c r="C61" s="11">
        <f>C62+C63</f>
        <v>2290.537</v>
      </c>
      <c r="D61" s="11">
        <f>D62+D63</f>
        <v>0</v>
      </c>
      <c r="E61" s="11">
        <f>E62+E63</f>
        <v>93.505</v>
      </c>
      <c r="F61" s="12">
        <f>F62+F63</f>
        <v>0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117" customFormat="1" ht="19.5" customHeight="1">
      <c r="A62" s="26" t="s">
        <v>10</v>
      </c>
      <c r="B62" s="6">
        <f t="shared" si="0"/>
        <v>2384.042</v>
      </c>
      <c r="C62" s="6">
        <v>2290.537</v>
      </c>
      <c r="D62" s="6"/>
      <c r="E62" s="6">
        <v>93.505</v>
      </c>
      <c r="F62" s="7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19.5" customHeight="1">
      <c r="A63" s="26" t="s">
        <v>7</v>
      </c>
      <c r="B63" s="6">
        <f t="shared" si="0"/>
        <v>0</v>
      </c>
      <c r="C63" s="11">
        <f>C64+C65+C66</f>
        <v>0</v>
      </c>
      <c r="D63" s="11">
        <f>D64+D65+D66</f>
        <v>0</v>
      </c>
      <c r="E63" s="11">
        <f>E64+E65+E66</f>
        <v>0</v>
      </c>
      <c r="F63" s="12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117" customFormat="1" ht="19.5" customHeight="1">
      <c r="A64" s="26" t="s">
        <v>8</v>
      </c>
      <c r="B64" s="6">
        <f t="shared" si="0"/>
        <v>0</v>
      </c>
      <c r="C64" s="11"/>
      <c r="D64" s="11"/>
      <c r="E64" s="11"/>
      <c r="F64" s="10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20.25" customHeight="1">
      <c r="A65" s="26" t="s">
        <v>39</v>
      </c>
      <c r="B65" s="6">
        <f>C65+D65+E65+F65</f>
        <v>0</v>
      </c>
      <c r="C65" s="9"/>
      <c r="D65" s="9"/>
      <c r="E65" s="9"/>
      <c r="F65" s="10"/>
      <c r="G65" s="60"/>
      <c r="H65" s="60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117" customFormat="1" ht="19.5" customHeight="1">
      <c r="A66" s="26" t="s">
        <v>9</v>
      </c>
      <c r="B66" s="6">
        <f t="shared" si="0"/>
        <v>0</v>
      </c>
      <c r="C66" s="11"/>
      <c r="D66" s="11"/>
      <c r="E66" s="11"/>
      <c r="F66" s="1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24.75" customHeight="1">
      <c r="A67" s="92" t="s">
        <v>16</v>
      </c>
      <c r="B67" s="6">
        <f t="shared" si="0"/>
        <v>514.216</v>
      </c>
      <c r="C67" s="8"/>
      <c r="D67" s="6"/>
      <c r="E67" s="6">
        <f>E68+E69</f>
        <v>352.556</v>
      </c>
      <c r="F67" s="7">
        <f>F68+F69</f>
        <v>161.66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23.25" customHeight="1">
      <c r="A68" s="26" t="s">
        <v>10</v>
      </c>
      <c r="B68" s="6">
        <f t="shared" si="0"/>
        <v>514.216</v>
      </c>
      <c r="C68" s="6"/>
      <c r="D68" s="6"/>
      <c r="E68" s="11">
        <v>352.556</v>
      </c>
      <c r="F68" s="12">
        <v>161.66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23.25" customHeight="1">
      <c r="A69" s="26" t="s">
        <v>7</v>
      </c>
      <c r="B69" s="6">
        <f aca="true" t="shared" si="1" ref="B69:B85">C69+D69+E69+F69</f>
        <v>0</v>
      </c>
      <c r="C69" s="11">
        <f>C70+C71+C72</f>
        <v>0</v>
      </c>
      <c r="D69" s="11">
        <f>D70+D71+D72</f>
        <v>0</v>
      </c>
      <c r="E69" s="11">
        <f>E70+E71+E72</f>
        <v>0</v>
      </c>
      <c r="F69" s="12">
        <f>F70+F71+F72</f>
        <v>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23.25" customHeight="1">
      <c r="A70" s="26" t="s">
        <v>8</v>
      </c>
      <c r="B70" s="6">
        <f t="shared" si="1"/>
        <v>0</v>
      </c>
      <c r="C70" s="8"/>
      <c r="D70" s="6"/>
      <c r="E70" s="8"/>
      <c r="F70" s="1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20.25" customHeight="1">
      <c r="A71" s="26" t="s">
        <v>39</v>
      </c>
      <c r="B71" s="6">
        <f t="shared" si="1"/>
        <v>0</v>
      </c>
      <c r="C71" s="9"/>
      <c r="D71" s="9"/>
      <c r="E71" s="9"/>
      <c r="F71" s="10"/>
      <c r="G71" s="60"/>
      <c r="H71" s="60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23.25" customHeight="1">
      <c r="A72" s="26" t="s">
        <v>9</v>
      </c>
      <c r="B72" s="6">
        <f t="shared" si="1"/>
        <v>0</v>
      </c>
      <c r="C72" s="8"/>
      <c r="D72" s="6"/>
      <c r="E72" s="8"/>
      <c r="F72" s="1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23.25" customHeight="1">
      <c r="A73" s="92" t="s">
        <v>4</v>
      </c>
      <c r="B73" s="6">
        <f t="shared" si="1"/>
        <v>783.449</v>
      </c>
      <c r="C73" s="6">
        <f>C74+C75+C81</f>
        <v>783.449</v>
      </c>
      <c r="D73" s="6"/>
      <c r="E73" s="6"/>
      <c r="F73" s="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47.25" customHeight="1">
      <c r="A74" s="32" t="s">
        <v>21</v>
      </c>
      <c r="B74" s="6">
        <f t="shared" si="1"/>
        <v>397.22999999999996</v>
      </c>
      <c r="C74" s="11">
        <f>783.449-C75</f>
        <v>397.22999999999996</v>
      </c>
      <c r="D74" s="6"/>
      <c r="E74" s="11">
        <f>E73-E81</f>
        <v>0</v>
      </c>
      <c r="F74" s="12">
        <f>F73-F81</f>
        <v>0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56.25" customHeight="1">
      <c r="A75" s="89" t="s">
        <v>30</v>
      </c>
      <c r="B75" s="47">
        <f t="shared" si="1"/>
        <v>386.219</v>
      </c>
      <c r="C75" s="52">
        <f>C77+C79</f>
        <v>386.219</v>
      </c>
      <c r="D75" s="118"/>
      <c r="E75" s="118"/>
      <c r="F75" s="1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6" customHeight="1">
      <c r="A76" s="32" t="s">
        <v>31</v>
      </c>
      <c r="B76" s="72">
        <f t="shared" si="1"/>
        <v>0.7030000000000001</v>
      </c>
      <c r="C76" s="52">
        <f>C78+C80</f>
        <v>0.7030000000000001</v>
      </c>
      <c r="D76" s="118"/>
      <c r="E76" s="118"/>
      <c r="F76" s="1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28.5" customHeight="1">
      <c r="A77" s="66" t="s">
        <v>32</v>
      </c>
      <c r="B77" s="41">
        <f t="shared" si="1"/>
        <v>224.808</v>
      </c>
      <c r="C77" s="139">
        <v>224.808</v>
      </c>
      <c r="D77" s="40"/>
      <c r="E77" s="40"/>
      <c r="F77" s="1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28.5" customHeight="1">
      <c r="A78" s="66" t="s">
        <v>33</v>
      </c>
      <c r="B78" s="41">
        <f t="shared" si="1"/>
        <v>0.398</v>
      </c>
      <c r="C78" s="139">
        <v>0.398</v>
      </c>
      <c r="D78" s="41"/>
      <c r="E78" s="41"/>
      <c r="F78" s="1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28.5" customHeight="1">
      <c r="A79" s="66" t="s">
        <v>34</v>
      </c>
      <c r="B79" s="41">
        <f t="shared" si="1"/>
        <v>161.411</v>
      </c>
      <c r="C79" s="139">
        <v>161.411</v>
      </c>
      <c r="D79" s="40"/>
      <c r="E79" s="40"/>
      <c r="F79" s="1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28.5" customHeight="1">
      <c r="A80" s="66" t="s">
        <v>35</v>
      </c>
      <c r="B80" s="41">
        <f t="shared" si="1"/>
        <v>0.305</v>
      </c>
      <c r="C80" s="139">
        <v>0.305</v>
      </c>
      <c r="D80" s="41"/>
      <c r="E80" s="41"/>
      <c r="F80" s="1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23.25" customHeight="1">
      <c r="A81" s="26" t="s">
        <v>7</v>
      </c>
      <c r="B81" s="6">
        <f t="shared" si="1"/>
        <v>0</v>
      </c>
      <c r="C81" s="11">
        <f>C82+C83+C84</f>
        <v>0</v>
      </c>
      <c r="D81" s="11">
        <f>D82+D83+D84</f>
        <v>0</v>
      </c>
      <c r="E81" s="11">
        <f>E82+E83+E84</f>
        <v>0</v>
      </c>
      <c r="F81" s="12">
        <f>F82+F84</f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23.25" customHeight="1">
      <c r="A82" s="26" t="s">
        <v>8</v>
      </c>
      <c r="B82" s="6">
        <f t="shared" si="1"/>
        <v>0</v>
      </c>
      <c r="C82" s="9"/>
      <c r="D82" s="6"/>
      <c r="E82" s="6"/>
      <c r="F82" s="7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3" customFormat="1" ht="20.25" customHeight="1">
      <c r="A83" s="26" t="s">
        <v>39</v>
      </c>
      <c r="B83" s="6">
        <f t="shared" si="1"/>
        <v>0</v>
      </c>
      <c r="C83" s="9"/>
      <c r="D83" s="9"/>
      <c r="E83" s="9"/>
      <c r="F83" s="10"/>
      <c r="G83" s="60"/>
      <c r="H83" s="60"/>
      <c r="I83" s="54"/>
      <c r="J83" s="54"/>
      <c r="K83" s="54"/>
      <c r="L83" s="54"/>
      <c r="M83" s="54"/>
      <c r="N83" s="54"/>
      <c r="O83" s="54"/>
      <c r="P83" s="54"/>
      <c r="Q83" s="54"/>
      <c r="R83" s="54"/>
    </row>
    <row r="84" spans="1:18" s="3" customFormat="1" ht="23.25" customHeight="1">
      <c r="A84" s="26" t="s">
        <v>9</v>
      </c>
      <c r="B84" s="6">
        <f t="shared" si="1"/>
        <v>0</v>
      </c>
      <c r="C84" s="9"/>
      <c r="D84" s="6"/>
      <c r="E84" s="6"/>
      <c r="F84" s="7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s="3" customFormat="1" ht="51" customHeight="1">
      <c r="A85" s="65" t="s">
        <v>58</v>
      </c>
      <c r="B85" s="6">
        <f t="shared" si="1"/>
        <v>2063.657</v>
      </c>
      <c r="C85" s="11">
        <f>C86+C87</f>
        <v>1074.536</v>
      </c>
      <c r="D85" s="6">
        <f>D86+D89</f>
        <v>0</v>
      </c>
      <c r="E85" s="6">
        <f>E86+E89</f>
        <v>454.104</v>
      </c>
      <c r="F85" s="7">
        <f>F86+F89</f>
        <v>535.0169999999999</v>
      </c>
      <c r="G85" s="93"/>
      <c r="H85" s="93"/>
      <c r="I85" s="54"/>
      <c r="J85" s="54"/>
      <c r="K85" s="54"/>
      <c r="L85" s="54"/>
      <c r="M85" s="54"/>
      <c r="N85" s="54"/>
      <c r="O85" s="54"/>
      <c r="P85" s="54"/>
      <c r="Q85" s="54"/>
      <c r="R85" s="54"/>
    </row>
    <row r="86" spans="1:18" s="120" customFormat="1" ht="27" customHeight="1">
      <c r="A86" s="26" t="s">
        <v>10</v>
      </c>
      <c r="B86" s="6">
        <f>F86+E86+D86+C86</f>
        <v>823.461</v>
      </c>
      <c r="C86" s="11">
        <f>1074.536-C87</f>
        <v>205.84800000000007</v>
      </c>
      <c r="D86" s="6"/>
      <c r="E86" s="6">
        <f>464.139-10.035</f>
        <v>454.104</v>
      </c>
      <c r="F86" s="7">
        <v>163.509</v>
      </c>
      <c r="G86" s="93"/>
      <c r="H86" s="93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8" s="30" customFormat="1" ht="36.75" customHeight="1">
      <c r="A87" s="32" t="s">
        <v>49</v>
      </c>
      <c r="B87" s="6">
        <f>C87+D87+E87+F87</f>
        <v>868.688</v>
      </c>
      <c r="C87" s="94">
        <v>868.688</v>
      </c>
      <c r="D87" s="6"/>
      <c r="E87" s="6"/>
      <c r="F87" s="7"/>
      <c r="G87" s="141"/>
      <c r="H87" s="141"/>
    </row>
    <row r="88" spans="1:8" s="30" customFormat="1" ht="25.5" customHeight="1">
      <c r="A88" s="32" t="s">
        <v>26</v>
      </c>
      <c r="B88" s="72">
        <f>C88+D88+E88+F88</f>
        <v>1.449</v>
      </c>
      <c r="C88" s="94">
        <v>1.449</v>
      </c>
      <c r="D88" s="84"/>
      <c r="E88" s="84"/>
      <c r="F88" s="39"/>
      <c r="G88" s="141"/>
      <c r="H88" s="141"/>
    </row>
    <row r="89" spans="1:18" s="3" customFormat="1" ht="23.25" customHeight="1">
      <c r="A89" s="26" t="s">
        <v>7</v>
      </c>
      <c r="B89" s="6">
        <f>C89+D89+E89+F89</f>
        <v>371.508</v>
      </c>
      <c r="C89" s="11">
        <f>C90+C91+C92</f>
        <v>0</v>
      </c>
      <c r="D89" s="11">
        <f>D90+D91+D92</f>
        <v>0</v>
      </c>
      <c r="E89" s="11">
        <f>E90+E91+E92</f>
        <v>0</v>
      </c>
      <c r="F89" s="7">
        <f>F92+F90</f>
        <v>371.508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23.25" customHeight="1">
      <c r="A90" s="26" t="s">
        <v>8</v>
      </c>
      <c r="B90" s="6">
        <f aca="true" t="shared" si="2" ref="B90:B164">C90+D90+E90+F90</f>
        <v>326.536</v>
      </c>
      <c r="C90" s="9"/>
      <c r="D90" s="6"/>
      <c r="E90" s="6"/>
      <c r="F90" s="13">
        <v>326.536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20.25" customHeight="1">
      <c r="A91" s="26" t="s">
        <v>39</v>
      </c>
      <c r="B91" s="6">
        <f t="shared" si="2"/>
        <v>0</v>
      </c>
      <c r="C91" s="9"/>
      <c r="D91" s="9"/>
      <c r="E91" s="9"/>
      <c r="F91" s="10"/>
      <c r="G91" s="60"/>
      <c r="H91" s="60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" customFormat="1" ht="23.25" customHeight="1">
      <c r="A92" s="26" t="s">
        <v>9</v>
      </c>
      <c r="B92" s="6">
        <f t="shared" si="2"/>
        <v>44.972</v>
      </c>
      <c r="C92" s="9"/>
      <c r="D92" s="6"/>
      <c r="E92" s="6"/>
      <c r="F92" s="13">
        <v>44.972</v>
      </c>
      <c r="G92" s="93"/>
      <c r="H92" s="93"/>
      <c r="I92" s="54"/>
      <c r="J92" s="54"/>
      <c r="K92" s="54"/>
      <c r="L92" s="54"/>
      <c r="M92" s="54"/>
      <c r="N92" s="54"/>
      <c r="O92" s="54"/>
      <c r="P92" s="54"/>
      <c r="Q92" s="54"/>
      <c r="R92" s="54"/>
    </row>
    <row r="93" spans="1:18" s="3" customFormat="1" ht="23.25" customHeight="1">
      <c r="A93" s="65" t="s">
        <v>15</v>
      </c>
      <c r="B93" s="6">
        <f t="shared" si="2"/>
        <v>2391.33</v>
      </c>
      <c r="C93" s="6">
        <f>C94+C95+C97</f>
        <v>2375.221</v>
      </c>
      <c r="D93" s="6"/>
      <c r="E93" s="6">
        <f>E94+E97</f>
        <v>0</v>
      </c>
      <c r="F93" s="7">
        <f>F94+F97</f>
        <v>16.109</v>
      </c>
      <c r="G93" s="93"/>
      <c r="H93" s="93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s="3" customFormat="1" ht="23.25" customHeight="1">
      <c r="A94" s="26" t="s">
        <v>10</v>
      </c>
      <c r="B94" s="6">
        <f t="shared" si="2"/>
        <v>1054.27</v>
      </c>
      <c r="C94" s="11">
        <f>2375.221-C95</f>
        <v>1038.161</v>
      </c>
      <c r="D94" s="11"/>
      <c r="E94" s="11"/>
      <c r="F94" s="12">
        <v>16.109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0" customFormat="1" ht="36.75" customHeight="1">
      <c r="A95" s="32" t="s">
        <v>38</v>
      </c>
      <c r="B95" s="6">
        <f t="shared" si="2"/>
        <v>1337.06</v>
      </c>
      <c r="C95" s="94">
        <v>1337.06</v>
      </c>
      <c r="D95" s="6"/>
      <c r="E95" s="6"/>
      <c r="F95" s="7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s="30" customFormat="1" ht="27" customHeight="1">
      <c r="A96" s="32" t="s">
        <v>26</v>
      </c>
      <c r="B96" s="72">
        <f t="shared" si="2"/>
        <v>2.334</v>
      </c>
      <c r="C96" s="94">
        <v>2.334</v>
      </c>
      <c r="D96" s="84"/>
      <c r="E96" s="84"/>
      <c r="F96" s="39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s="3" customFormat="1" ht="23.25" customHeight="1">
      <c r="A97" s="26" t="s">
        <v>7</v>
      </c>
      <c r="B97" s="6">
        <f t="shared" si="2"/>
        <v>0</v>
      </c>
      <c r="C97" s="11">
        <f>C98+C99+C100</f>
        <v>0</v>
      </c>
      <c r="D97" s="11">
        <f>D98+D99+D100</f>
        <v>0</v>
      </c>
      <c r="E97" s="11">
        <f>E98+E99+E100</f>
        <v>0</v>
      </c>
      <c r="F97" s="7">
        <f>F100+F98</f>
        <v>0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23.25" customHeight="1">
      <c r="A98" s="26" t="s">
        <v>8</v>
      </c>
      <c r="B98" s="6">
        <f t="shared" si="2"/>
        <v>0</v>
      </c>
      <c r="C98" s="9"/>
      <c r="D98" s="6"/>
      <c r="E98" s="8"/>
      <c r="F98" s="1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20.25" customHeight="1">
      <c r="A99" s="26" t="s">
        <v>39</v>
      </c>
      <c r="B99" s="6">
        <f>C99+D99+E99+F99</f>
        <v>0</v>
      </c>
      <c r="C99" s="9"/>
      <c r="D99" s="9"/>
      <c r="E99" s="9"/>
      <c r="F99" s="10"/>
      <c r="G99" s="60"/>
      <c r="H99" s="60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23.25" customHeight="1">
      <c r="A100" s="26" t="s">
        <v>9</v>
      </c>
      <c r="B100" s="6">
        <f t="shared" si="2"/>
        <v>0</v>
      </c>
      <c r="C100" s="9"/>
      <c r="D100" s="6"/>
      <c r="E100" s="8"/>
      <c r="F100" s="1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23.25" customHeight="1">
      <c r="A101" s="65" t="s">
        <v>57</v>
      </c>
      <c r="B101" s="6">
        <f t="shared" si="2"/>
        <v>31.622</v>
      </c>
      <c r="C101" s="6">
        <f>C102+C103</f>
        <v>0</v>
      </c>
      <c r="D101" s="6"/>
      <c r="E101" s="6">
        <f>E102+E103</f>
        <v>31.622</v>
      </c>
      <c r="F101" s="7">
        <f>F102+F103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23.25" customHeight="1">
      <c r="A102" s="26" t="s">
        <v>10</v>
      </c>
      <c r="B102" s="6">
        <f t="shared" si="2"/>
        <v>31.622</v>
      </c>
      <c r="C102" s="42"/>
      <c r="D102" s="42"/>
      <c r="E102" s="42">
        <v>31.622</v>
      </c>
      <c r="F102" s="39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23.25" customHeight="1">
      <c r="A103" s="26" t="s">
        <v>7</v>
      </c>
      <c r="B103" s="6">
        <f t="shared" si="2"/>
        <v>0</v>
      </c>
      <c r="C103" s="11">
        <f>C104+C105+C106</f>
        <v>0</v>
      </c>
      <c r="D103" s="11">
        <f>D104+D105+D106</f>
        <v>0</v>
      </c>
      <c r="E103" s="11">
        <f>E104+E105+E106</f>
        <v>0</v>
      </c>
      <c r="F103" s="7">
        <f>F106+F104</f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23.25" customHeight="1">
      <c r="A104" s="26" t="s">
        <v>8</v>
      </c>
      <c r="B104" s="6">
        <f t="shared" si="2"/>
        <v>0</v>
      </c>
      <c r="C104" s="9"/>
      <c r="D104" s="6"/>
      <c r="E104" s="8"/>
      <c r="F104" s="1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20.25" customHeight="1">
      <c r="A105" s="26" t="s">
        <v>39</v>
      </c>
      <c r="B105" s="6">
        <f>C105+D105+E105+F105</f>
        <v>0</v>
      </c>
      <c r="C105" s="9"/>
      <c r="D105" s="9"/>
      <c r="E105" s="9"/>
      <c r="F105" s="10"/>
      <c r="G105" s="60"/>
      <c r="H105" s="60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23.25" customHeight="1">
      <c r="A106" s="26" t="s">
        <v>9</v>
      </c>
      <c r="B106" s="6">
        <f t="shared" si="2"/>
        <v>0</v>
      </c>
      <c r="C106" s="9"/>
      <c r="D106" s="6"/>
      <c r="E106" s="8"/>
      <c r="F106" s="1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44.25" customHeight="1">
      <c r="A107" s="65" t="s">
        <v>14</v>
      </c>
      <c r="B107" s="6">
        <f t="shared" si="2"/>
        <v>112.449</v>
      </c>
      <c r="C107" s="9"/>
      <c r="D107" s="6"/>
      <c r="E107" s="6">
        <f>E108+E109</f>
        <v>0</v>
      </c>
      <c r="F107" s="7">
        <f>F108+F109</f>
        <v>112.449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23.25" customHeight="1">
      <c r="A108" s="26" t="s">
        <v>10</v>
      </c>
      <c r="B108" s="6">
        <f t="shared" si="2"/>
        <v>17.465</v>
      </c>
      <c r="C108" s="9"/>
      <c r="D108" s="6"/>
      <c r="E108" s="6"/>
      <c r="F108" s="27">
        <v>17.465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23.25" customHeight="1">
      <c r="A109" s="26" t="s">
        <v>7</v>
      </c>
      <c r="B109" s="6">
        <f t="shared" si="2"/>
        <v>94.984</v>
      </c>
      <c r="C109" s="11">
        <f>C110+C111+C112</f>
        <v>0</v>
      </c>
      <c r="D109" s="11">
        <f>D110+D111+D112</f>
        <v>0</v>
      </c>
      <c r="E109" s="11">
        <f>E110+E111+E112</f>
        <v>0</v>
      </c>
      <c r="F109" s="7">
        <f>F112+F110</f>
        <v>94.984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23.25" customHeight="1">
      <c r="A110" s="26" t="s">
        <v>8</v>
      </c>
      <c r="B110" s="6">
        <f t="shared" si="2"/>
        <v>94.984</v>
      </c>
      <c r="C110" s="9"/>
      <c r="D110" s="6"/>
      <c r="E110" s="8"/>
      <c r="F110" s="13">
        <v>94.984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20.25" customHeight="1">
      <c r="A111" s="26" t="s">
        <v>39</v>
      </c>
      <c r="B111" s="6">
        <f t="shared" si="2"/>
        <v>0</v>
      </c>
      <c r="C111" s="9"/>
      <c r="D111" s="9"/>
      <c r="E111" s="9"/>
      <c r="F111" s="10"/>
      <c r="G111" s="60"/>
      <c r="H111" s="60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23.25" customHeight="1">
      <c r="A112" s="26" t="s">
        <v>9</v>
      </c>
      <c r="B112" s="6">
        <f t="shared" si="2"/>
        <v>0</v>
      </c>
      <c r="C112" s="9"/>
      <c r="D112" s="6"/>
      <c r="E112" s="8"/>
      <c r="F112" s="13"/>
      <c r="G112" s="58"/>
      <c r="H112" s="58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47.25" customHeight="1">
      <c r="A113" s="65" t="s">
        <v>18</v>
      </c>
      <c r="B113" s="6">
        <f t="shared" si="2"/>
        <v>264.30899999999997</v>
      </c>
      <c r="C113" s="9"/>
      <c r="D113" s="6"/>
      <c r="E113" s="6">
        <f>E114+E115</f>
        <v>22.383</v>
      </c>
      <c r="F113" s="7">
        <f>F114+F115</f>
        <v>241.926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23.25" customHeight="1">
      <c r="A114" s="26" t="s">
        <v>10</v>
      </c>
      <c r="B114" s="6">
        <f t="shared" si="2"/>
        <v>87.22999999999999</v>
      </c>
      <c r="C114" s="9"/>
      <c r="D114" s="6"/>
      <c r="E114" s="6">
        <v>22.383</v>
      </c>
      <c r="F114" s="27">
        <v>64.847</v>
      </c>
      <c r="G114" s="95"/>
      <c r="H114" s="95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23.25" customHeight="1">
      <c r="A115" s="26" t="s">
        <v>7</v>
      </c>
      <c r="B115" s="6">
        <f t="shared" si="2"/>
        <v>177.079</v>
      </c>
      <c r="C115" s="11">
        <f>C116+C117+C118</f>
        <v>0</v>
      </c>
      <c r="D115" s="11">
        <f>D116+D117+D118</f>
        <v>0</v>
      </c>
      <c r="E115" s="11">
        <f>E116+E117+E118</f>
        <v>0</v>
      </c>
      <c r="F115" s="7">
        <f>F118+F116</f>
        <v>177.079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23.25" customHeight="1">
      <c r="A116" s="26" t="s">
        <v>8</v>
      </c>
      <c r="B116" s="6">
        <f t="shared" si="2"/>
        <v>0</v>
      </c>
      <c r="C116" s="9"/>
      <c r="D116" s="6"/>
      <c r="E116" s="6"/>
      <c r="F116" s="7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20.25" customHeight="1">
      <c r="A117" s="26" t="s">
        <v>39</v>
      </c>
      <c r="B117" s="6">
        <f>C117+D117+E117+F117</f>
        <v>0</v>
      </c>
      <c r="C117" s="9"/>
      <c r="D117" s="9"/>
      <c r="E117" s="9"/>
      <c r="F117" s="10"/>
      <c r="G117" s="60"/>
      <c r="H117" s="60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23.25" customHeight="1">
      <c r="A118" s="26" t="s">
        <v>9</v>
      </c>
      <c r="B118" s="6">
        <f t="shared" si="2"/>
        <v>177.079</v>
      </c>
      <c r="C118" s="9"/>
      <c r="D118" s="6"/>
      <c r="E118" s="6"/>
      <c r="F118" s="13">
        <v>177.079</v>
      </c>
      <c r="G118" s="95"/>
      <c r="H118" s="95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23.25" customHeight="1">
      <c r="A119" s="65" t="s">
        <v>13</v>
      </c>
      <c r="B119" s="6">
        <f t="shared" si="2"/>
        <v>499.566</v>
      </c>
      <c r="C119" s="6">
        <f>C120+C121</f>
        <v>0</v>
      </c>
      <c r="D119" s="6"/>
      <c r="E119" s="6">
        <f>E120+E121</f>
        <v>499.566</v>
      </c>
      <c r="F119" s="7">
        <f>F120+F121</f>
        <v>0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23.25" customHeight="1">
      <c r="A120" s="26" t="s">
        <v>10</v>
      </c>
      <c r="B120" s="6">
        <f t="shared" si="2"/>
        <v>499.566</v>
      </c>
      <c r="C120" s="42"/>
      <c r="D120" s="42"/>
      <c r="E120" s="42">
        <v>499.566</v>
      </c>
      <c r="F120" s="39"/>
      <c r="G120" s="95"/>
      <c r="H120" s="95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23.25" customHeight="1">
      <c r="A121" s="26" t="s">
        <v>7</v>
      </c>
      <c r="B121" s="6">
        <f>C121+D121+E121+F121</f>
        <v>0</v>
      </c>
      <c r="C121" s="11">
        <f>C122+C123+C124</f>
        <v>0</v>
      </c>
      <c r="D121" s="11">
        <f>D122+D123+D124</f>
        <v>0</v>
      </c>
      <c r="E121" s="11">
        <f>E122+E123+E124</f>
        <v>0</v>
      </c>
      <c r="F121" s="7">
        <f>F124+F122</f>
        <v>0</v>
      </c>
      <c r="G121" s="142"/>
      <c r="H121" s="142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23.25" customHeight="1">
      <c r="A122" s="26" t="s">
        <v>8</v>
      </c>
      <c r="B122" s="6">
        <f t="shared" si="2"/>
        <v>0</v>
      </c>
      <c r="C122" s="9"/>
      <c r="D122" s="6"/>
      <c r="E122" s="8"/>
      <c r="F122" s="13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20.25" customHeight="1">
      <c r="A123" s="26" t="s">
        <v>39</v>
      </c>
      <c r="B123" s="6">
        <f t="shared" si="2"/>
        <v>0</v>
      </c>
      <c r="C123" s="9"/>
      <c r="D123" s="9"/>
      <c r="E123" s="9"/>
      <c r="F123" s="10"/>
      <c r="G123" s="60"/>
      <c r="H123" s="60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23.25" customHeight="1">
      <c r="A124" s="26" t="s">
        <v>9</v>
      </c>
      <c r="B124" s="6">
        <f t="shared" si="2"/>
        <v>0</v>
      </c>
      <c r="C124" s="9"/>
      <c r="D124" s="6"/>
      <c r="E124" s="8"/>
      <c r="F124" s="13"/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25.5" customHeight="1">
      <c r="A125" s="65" t="s">
        <v>62</v>
      </c>
      <c r="B125" s="6">
        <f t="shared" si="2"/>
        <v>10.035</v>
      </c>
      <c r="C125" s="9"/>
      <c r="D125" s="6"/>
      <c r="E125" s="6">
        <f>E126+E127</f>
        <v>0</v>
      </c>
      <c r="F125" s="7">
        <f>F126+F127</f>
        <v>10.035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23.25" customHeight="1">
      <c r="A126" s="26" t="s">
        <v>10</v>
      </c>
      <c r="B126" s="6">
        <f t="shared" si="2"/>
        <v>10.035</v>
      </c>
      <c r="C126" s="9"/>
      <c r="D126" s="6"/>
      <c r="E126" s="6"/>
      <c r="F126" s="27">
        <v>10.035</v>
      </c>
      <c r="G126" s="95"/>
      <c r="H126" s="95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23.25" customHeight="1">
      <c r="A127" s="26" t="s">
        <v>7</v>
      </c>
      <c r="B127" s="6">
        <f>C127+D127+E127+F127</f>
        <v>0</v>
      </c>
      <c r="C127" s="11">
        <f>C128+C129+C130</f>
        <v>0</v>
      </c>
      <c r="D127" s="11">
        <f>D128+D129+D130</f>
        <v>0</v>
      </c>
      <c r="E127" s="11">
        <f>E128+E129+E130</f>
        <v>0</v>
      </c>
      <c r="F127" s="7">
        <f>F130+F128</f>
        <v>0</v>
      </c>
      <c r="G127" s="95"/>
      <c r="H127" s="95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23.25" customHeight="1">
      <c r="A128" s="26" t="s">
        <v>8</v>
      </c>
      <c r="B128" s="6">
        <f t="shared" si="2"/>
        <v>0</v>
      </c>
      <c r="C128" s="9"/>
      <c r="D128" s="6"/>
      <c r="E128" s="8"/>
      <c r="F128" s="13"/>
      <c r="G128" s="95"/>
      <c r="H128" s="95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20.25" customHeight="1">
      <c r="A129" s="26" t="s">
        <v>39</v>
      </c>
      <c r="B129" s="6">
        <f>C129+D129+E129+F129</f>
        <v>0</v>
      </c>
      <c r="C129" s="9"/>
      <c r="D129" s="9"/>
      <c r="E129" s="9"/>
      <c r="F129" s="10"/>
      <c r="G129" s="60"/>
      <c r="H129" s="60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23.25" customHeight="1">
      <c r="A130" s="26" t="s">
        <v>9</v>
      </c>
      <c r="B130" s="6">
        <f t="shared" si="2"/>
        <v>0</v>
      </c>
      <c r="C130" s="9"/>
      <c r="D130" s="6"/>
      <c r="E130" s="8"/>
      <c r="F130" s="13"/>
      <c r="G130" s="58"/>
      <c r="H130" s="58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26.25" customHeight="1">
      <c r="A131" s="65"/>
      <c r="B131" s="6">
        <f t="shared" si="2"/>
        <v>0</v>
      </c>
      <c r="C131" s="9"/>
      <c r="D131" s="6"/>
      <c r="E131" s="6">
        <f>E132+E133</f>
        <v>0</v>
      </c>
      <c r="F131" s="7">
        <f>F132+F133</f>
        <v>0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23.25" customHeight="1">
      <c r="A132" s="26" t="s">
        <v>10</v>
      </c>
      <c r="B132" s="6">
        <f t="shared" si="2"/>
        <v>0</v>
      </c>
      <c r="C132" s="9"/>
      <c r="D132" s="6"/>
      <c r="E132" s="6"/>
      <c r="F132" s="27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23.25" customHeight="1">
      <c r="A133" s="26" t="s">
        <v>7</v>
      </c>
      <c r="B133" s="6">
        <f>C133+D133+E133+F133</f>
        <v>0</v>
      </c>
      <c r="C133" s="11">
        <f>C134+C135+C136</f>
        <v>0</v>
      </c>
      <c r="D133" s="11">
        <f>D134+D135+D136</f>
        <v>0</v>
      </c>
      <c r="E133" s="11">
        <f>E134+E135+E136</f>
        <v>0</v>
      </c>
      <c r="F133" s="7">
        <f>F136+F134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23.25" customHeight="1">
      <c r="A134" s="26" t="s">
        <v>8</v>
      </c>
      <c r="B134" s="6">
        <f t="shared" si="2"/>
        <v>0</v>
      </c>
      <c r="C134" s="9"/>
      <c r="D134" s="6"/>
      <c r="E134" s="6"/>
      <c r="F134" s="7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20.25" customHeight="1">
      <c r="A135" s="26" t="s">
        <v>39</v>
      </c>
      <c r="B135" s="6">
        <f t="shared" si="2"/>
        <v>0</v>
      </c>
      <c r="C135" s="9"/>
      <c r="D135" s="9"/>
      <c r="E135" s="9"/>
      <c r="F135" s="10"/>
      <c r="G135" s="60"/>
      <c r="H135" s="60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23.25" customHeight="1">
      <c r="A136" s="26" t="s">
        <v>9</v>
      </c>
      <c r="B136" s="6">
        <f t="shared" si="2"/>
        <v>0</v>
      </c>
      <c r="C136" s="9"/>
      <c r="D136" s="6"/>
      <c r="E136" s="6"/>
      <c r="F136" s="7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22.5" customHeight="1">
      <c r="A137" s="65" t="s">
        <v>56</v>
      </c>
      <c r="B137" s="6">
        <f t="shared" si="2"/>
        <v>199.60000000000002</v>
      </c>
      <c r="C137" s="9"/>
      <c r="D137" s="6"/>
      <c r="E137" s="6">
        <f>E138+E139</f>
        <v>199.60000000000002</v>
      </c>
      <c r="F137" s="7">
        <f>F138+F139</f>
        <v>0</v>
      </c>
      <c r="G137" s="58"/>
      <c r="H137" s="58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23.25" customHeight="1">
      <c r="A138" s="26" t="s">
        <v>10</v>
      </c>
      <c r="B138" s="6">
        <f t="shared" si="2"/>
        <v>127.68</v>
      </c>
      <c r="C138" s="9"/>
      <c r="D138" s="6"/>
      <c r="E138" s="6">
        <v>127.68</v>
      </c>
      <c r="F138" s="27"/>
      <c r="G138" s="61"/>
      <c r="H138" s="61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23.25" customHeight="1">
      <c r="A139" s="26" t="s">
        <v>7</v>
      </c>
      <c r="B139" s="6">
        <f>C139+D139+E139+F139</f>
        <v>71.92</v>
      </c>
      <c r="C139" s="11">
        <f>C140+C141+C142</f>
        <v>0</v>
      </c>
      <c r="D139" s="11">
        <f>D140+D141+D142</f>
        <v>0</v>
      </c>
      <c r="E139" s="11">
        <f>E140+E141+E142</f>
        <v>71.92</v>
      </c>
      <c r="F139" s="7">
        <f>F142+F140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23.25" customHeight="1">
      <c r="A140" s="26" t="s">
        <v>8</v>
      </c>
      <c r="B140" s="6">
        <f t="shared" si="2"/>
        <v>71.92</v>
      </c>
      <c r="C140" s="9"/>
      <c r="D140" s="6"/>
      <c r="E140" s="6">
        <v>71.92</v>
      </c>
      <c r="F140" s="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20.25" customHeight="1">
      <c r="A141" s="26" t="s">
        <v>39</v>
      </c>
      <c r="B141" s="6">
        <f>C141+D141+E141+F141</f>
        <v>0</v>
      </c>
      <c r="C141" s="9"/>
      <c r="D141" s="9"/>
      <c r="E141" s="9"/>
      <c r="F141" s="10"/>
      <c r="G141" s="60"/>
      <c r="H141" s="60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23.25" customHeight="1">
      <c r="A142" s="26" t="s">
        <v>9</v>
      </c>
      <c r="B142" s="6">
        <f t="shared" si="2"/>
        <v>0</v>
      </c>
      <c r="C142" s="9"/>
      <c r="D142" s="6"/>
      <c r="E142" s="6"/>
      <c r="F142" s="7"/>
      <c r="G142" s="61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24.75" customHeight="1">
      <c r="A143" s="65" t="s">
        <v>6</v>
      </c>
      <c r="B143" s="6">
        <f>C143+D143+E143+F143</f>
        <v>1708.166</v>
      </c>
      <c r="C143" s="11">
        <f>C144+C145</f>
        <v>0</v>
      </c>
      <c r="D143" s="6"/>
      <c r="E143" s="11">
        <f>E144+E145</f>
        <v>779.924</v>
      </c>
      <c r="F143" s="12">
        <f>F144+F145</f>
        <v>928.242</v>
      </c>
      <c r="G143" s="61"/>
      <c r="H143" s="61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24.75" customHeight="1">
      <c r="A144" s="26" t="s">
        <v>10</v>
      </c>
      <c r="B144" s="6">
        <f aca="true" t="shared" si="3" ref="B144:B152">C144+D144+E144+F144</f>
        <v>852.821</v>
      </c>
      <c r="C144" s="6"/>
      <c r="D144" s="6"/>
      <c r="E144" s="11">
        <v>625.99</v>
      </c>
      <c r="F144" s="12">
        <v>226.831</v>
      </c>
      <c r="G144" s="61"/>
      <c r="H144" s="61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24.75" customHeight="1">
      <c r="A145" s="26" t="s">
        <v>7</v>
      </c>
      <c r="B145" s="6">
        <f>C145+D145+E145+F145</f>
        <v>855.3449999999999</v>
      </c>
      <c r="C145" s="11">
        <f>C146+C147+C148</f>
        <v>0</v>
      </c>
      <c r="D145" s="11">
        <f>D146+D147+D148</f>
        <v>0</v>
      </c>
      <c r="E145" s="11">
        <f>E146+E147+E148</f>
        <v>153.934</v>
      </c>
      <c r="F145" s="143">
        <f>F146+F147+F148</f>
        <v>701.411</v>
      </c>
      <c r="G145" s="38"/>
      <c r="H145" s="61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3" customFormat="1" ht="24.75" customHeight="1">
      <c r="A146" s="26" t="s">
        <v>8</v>
      </c>
      <c r="B146" s="6">
        <f t="shared" si="3"/>
        <v>631.643</v>
      </c>
      <c r="C146" s="6"/>
      <c r="D146" s="6"/>
      <c r="E146" s="9">
        <f>190.347-50</f>
        <v>140.347</v>
      </c>
      <c r="F146" s="10">
        <f>491.296</f>
        <v>491.296</v>
      </c>
      <c r="G146" s="38"/>
      <c r="H146" s="62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20.25" customHeight="1">
      <c r="A147" s="26" t="s">
        <v>39</v>
      </c>
      <c r="B147" s="6">
        <f t="shared" si="3"/>
        <v>108.08</v>
      </c>
      <c r="C147" s="9"/>
      <c r="D147" s="9"/>
      <c r="E147" s="9">
        <v>12</v>
      </c>
      <c r="F147" s="10">
        <f>20+76.08</f>
        <v>96.08</v>
      </c>
      <c r="G147" s="38"/>
      <c r="H147" s="38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18" s="3" customFormat="1" ht="24.75" customHeight="1">
      <c r="A148" s="26" t="s">
        <v>9</v>
      </c>
      <c r="B148" s="6">
        <f t="shared" si="3"/>
        <v>115.622</v>
      </c>
      <c r="C148" s="6"/>
      <c r="D148" s="6"/>
      <c r="E148" s="9">
        <v>1.587</v>
      </c>
      <c r="F148" s="10">
        <v>114.035</v>
      </c>
      <c r="G148" s="37"/>
      <c r="H148" s="37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spans="1:18" s="117" customFormat="1" ht="24.75" customHeight="1">
      <c r="A149" s="65" t="s">
        <v>5</v>
      </c>
      <c r="B149" s="6">
        <f>C149+D149+E149+F149</f>
        <v>3375.516</v>
      </c>
      <c r="C149" s="11">
        <f>C150+C151+C153</f>
        <v>330.269</v>
      </c>
      <c r="D149" s="6"/>
      <c r="E149" s="11">
        <f>E150+E153</f>
        <v>2042.8480000000002</v>
      </c>
      <c r="F149" s="143">
        <f>F150+F153</f>
        <v>1002.3989999999999</v>
      </c>
      <c r="G149" s="58"/>
      <c r="H149" s="58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18" s="3" customFormat="1" ht="24.75" customHeight="1">
      <c r="A150" s="26" t="s">
        <v>10</v>
      </c>
      <c r="B150" s="6">
        <f t="shared" si="3"/>
        <v>1937.482</v>
      </c>
      <c r="C150" s="11">
        <f>330.269-C151</f>
        <v>0</v>
      </c>
      <c r="D150" s="6"/>
      <c r="E150" s="11">
        <v>1589.143</v>
      </c>
      <c r="F150" s="12">
        <v>348.339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8" s="30" customFormat="1" ht="36.75" customHeight="1">
      <c r="A151" s="32" t="s">
        <v>50</v>
      </c>
      <c r="B151" s="6">
        <f t="shared" si="3"/>
        <v>330.269</v>
      </c>
      <c r="C151" s="94">
        <v>330.269</v>
      </c>
      <c r="D151" s="6"/>
      <c r="E151" s="6"/>
      <c r="F151" s="7"/>
      <c r="G151" s="141"/>
      <c r="H151" s="141"/>
    </row>
    <row r="152" spans="1:8" s="30" customFormat="1" ht="23.25" customHeight="1">
      <c r="A152" s="32" t="s">
        <v>26</v>
      </c>
      <c r="B152" s="72">
        <f t="shared" si="3"/>
        <v>0.536</v>
      </c>
      <c r="C152" s="94">
        <v>0.536</v>
      </c>
      <c r="D152" s="84"/>
      <c r="E152" s="84"/>
      <c r="F152" s="39"/>
      <c r="G152" s="141"/>
      <c r="H152" s="141"/>
    </row>
    <row r="153" spans="1:18" s="3" customFormat="1" ht="24.75" customHeight="1">
      <c r="A153" s="26" t="s">
        <v>7</v>
      </c>
      <c r="B153" s="6">
        <f>C153+D153+E153+F153</f>
        <v>1107.765</v>
      </c>
      <c r="C153" s="11">
        <f>C154+C155+C156</f>
        <v>0</v>
      </c>
      <c r="D153" s="11">
        <f>D154+D155+D156</f>
        <v>0</v>
      </c>
      <c r="E153" s="11">
        <f>E154+E155+E156</f>
        <v>453.7050000000001</v>
      </c>
      <c r="F153" s="143">
        <f>F154+F155+F156</f>
        <v>654.06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24.75" customHeight="1">
      <c r="A154" s="26" t="s">
        <v>8</v>
      </c>
      <c r="B154" s="6">
        <f t="shared" si="2"/>
        <v>832.542</v>
      </c>
      <c r="C154" s="9"/>
      <c r="D154" s="9"/>
      <c r="E154" s="9">
        <f>451.343-159.384</f>
        <v>291.95900000000006</v>
      </c>
      <c r="F154" s="10">
        <v>540.583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20.25" customHeight="1">
      <c r="A155" s="26" t="s">
        <v>39</v>
      </c>
      <c r="B155" s="6">
        <f t="shared" si="2"/>
        <v>259.957</v>
      </c>
      <c r="C155" s="9"/>
      <c r="D155" s="9"/>
      <c r="E155" s="9">
        <v>146.48</v>
      </c>
      <c r="F155" s="10">
        <f>20+93.477</f>
        <v>113.477</v>
      </c>
      <c r="G155" s="60"/>
      <c r="H155" s="60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24.75" customHeight="1">
      <c r="A156" s="26" t="s">
        <v>9</v>
      </c>
      <c r="B156" s="6">
        <f t="shared" si="2"/>
        <v>15.266</v>
      </c>
      <c r="C156" s="9"/>
      <c r="D156" s="9"/>
      <c r="E156" s="9">
        <v>15.266</v>
      </c>
      <c r="F156" s="10"/>
      <c r="G156" s="60"/>
      <c r="H156" s="60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24" customHeight="1">
      <c r="A157" s="65" t="s">
        <v>17</v>
      </c>
      <c r="B157" s="6">
        <f t="shared" si="2"/>
        <v>6593.045</v>
      </c>
      <c r="C157" s="11"/>
      <c r="D157" s="6"/>
      <c r="E157" s="11">
        <f>E158+E159</f>
        <v>1534.839</v>
      </c>
      <c r="F157" s="12">
        <f>F158+F159</f>
        <v>5058.206</v>
      </c>
      <c r="G157" s="60"/>
      <c r="H157" s="60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26.25" customHeight="1">
      <c r="A158" s="26" t="s">
        <v>10</v>
      </c>
      <c r="B158" s="6">
        <f t="shared" si="2"/>
        <v>3037.6949999999997</v>
      </c>
      <c r="C158" s="6"/>
      <c r="D158" s="6"/>
      <c r="E158" s="11">
        <v>1489.947</v>
      </c>
      <c r="F158" s="12">
        <v>1547.748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24.75" customHeight="1">
      <c r="A159" s="26" t="s">
        <v>7</v>
      </c>
      <c r="B159" s="6">
        <f>C159+D159+E159+F159</f>
        <v>3555.35</v>
      </c>
      <c r="C159" s="11">
        <f>C160+C161+C162</f>
        <v>0</v>
      </c>
      <c r="D159" s="11">
        <f>D160+D161+D162</f>
        <v>0</v>
      </c>
      <c r="E159" s="11">
        <f>E160+E161+E162</f>
        <v>44.892</v>
      </c>
      <c r="F159" s="7">
        <f>F162+F160</f>
        <v>3510.458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3" customFormat="1" ht="26.25" customHeight="1">
      <c r="A160" s="26" t="s">
        <v>8</v>
      </c>
      <c r="B160" s="6">
        <f t="shared" si="2"/>
        <v>369.603</v>
      </c>
      <c r="C160" s="8"/>
      <c r="D160" s="6"/>
      <c r="E160" s="9">
        <v>19.074</v>
      </c>
      <c r="F160" s="10">
        <v>350.529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</row>
    <row r="161" spans="1:18" s="3" customFormat="1" ht="20.25" customHeight="1">
      <c r="A161" s="26" t="s">
        <v>39</v>
      </c>
      <c r="B161" s="6">
        <f t="shared" si="2"/>
        <v>0</v>
      </c>
      <c r="C161" s="9"/>
      <c r="D161" s="9"/>
      <c r="E161" s="9"/>
      <c r="F161" s="10"/>
      <c r="G161" s="60"/>
      <c r="H161" s="60"/>
      <c r="I161" s="54"/>
      <c r="J161" s="54"/>
      <c r="K161" s="54"/>
      <c r="L161" s="54"/>
      <c r="M161" s="54"/>
      <c r="N161" s="54"/>
      <c r="O161" s="54"/>
      <c r="P161" s="54"/>
      <c r="Q161" s="54"/>
      <c r="R161" s="54"/>
    </row>
    <row r="162" spans="1:18" s="3" customFormat="1" ht="26.25" customHeight="1" thickBot="1">
      <c r="A162" s="25" t="s">
        <v>9</v>
      </c>
      <c r="B162" s="16">
        <f t="shared" si="2"/>
        <v>3185.7470000000003</v>
      </c>
      <c r="C162" s="17"/>
      <c r="D162" s="16"/>
      <c r="E162" s="19">
        <v>25.818</v>
      </c>
      <c r="F162" s="28">
        <v>3159.929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4" customFormat="1" ht="24.75" customHeight="1" thickBot="1">
      <c r="A163" s="109" t="s">
        <v>10</v>
      </c>
      <c r="B163" s="76">
        <f t="shared" si="2"/>
        <v>90279.873</v>
      </c>
      <c r="C163" s="99">
        <f>C164+C165+C169</f>
        <v>38693.316</v>
      </c>
      <c r="D163" s="99">
        <f>D164+D165+D169</f>
        <v>2301.464</v>
      </c>
      <c r="E163" s="99">
        <f>E164+E165+E169</f>
        <v>31449.350000000002</v>
      </c>
      <c r="F163" s="77">
        <f>F164+F165+F169</f>
        <v>17835.743000000002</v>
      </c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1:18" s="23" customFormat="1" ht="24.75" customHeight="1">
      <c r="A164" s="33" t="s">
        <v>40</v>
      </c>
      <c r="B164" s="43">
        <f t="shared" si="2"/>
        <v>70384.868</v>
      </c>
      <c r="C164" s="44">
        <f>C9+C24+C30+C36+C42+C50+C56+C62+C68+C74+C86+C94+C102+C108+C114+C120+C126+C132+C138+C144+C150+C158</f>
        <v>25834.271000000004</v>
      </c>
      <c r="D164" s="44">
        <f>D9+D24+D30+D36+D42+D50+D56+D62+D68+D74+D86+D94+D102+D108+D114+D120+D126+D132+D138+D144+D150+D158</f>
        <v>1760.119</v>
      </c>
      <c r="E164" s="44">
        <f>E9+E24+E30+E36+E42+E50+E56+E62+E68+E74+E86+E94+E102+E108+E114+E120+E126+E132+E138+E144+E150+E158</f>
        <v>25068.114</v>
      </c>
      <c r="F164" s="45">
        <f>F9+F24+F30+F36+F42+F50+F56+F62+F68+F74+F86+F94+F102+F108+F114+F120+F126+F132+F138+F144+F150+F158</f>
        <v>17722.364</v>
      </c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</row>
    <row r="165" spans="1:18" s="24" customFormat="1" ht="24.75" customHeight="1">
      <c r="A165" s="33" t="s">
        <v>42</v>
      </c>
      <c r="B165" s="5">
        <f aca="true" t="shared" si="4" ref="B165:B177">C165+D165+E165+F165</f>
        <v>18711.699</v>
      </c>
      <c r="C165" s="11">
        <f>C10+C43+C75+C87+C95+C151</f>
        <v>11675.739</v>
      </c>
      <c r="D165" s="11">
        <f aca="true" t="shared" si="5" ref="D165:F166">D10+D43+D75+D95</f>
        <v>541.345</v>
      </c>
      <c r="E165" s="11">
        <f t="shared" si="5"/>
        <v>6381.236</v>
      </c>
      <c r="F165" s="12">
        <f>F10+F43+F75+F95</f>
        <v>113.379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</row>
    <row r="166" spans="1:18" s="1" customFormat="1" ht="24.75" customHeight="1">
      <c r="A166" s="33" t="s">
        <v>41</v>
      </c>
      <c r="B166" s="5">
        <f t="shared" si="4"/>
        <v>30.278000000000002</v>
      </c>
      <c r="C166" s="11">
        <f>C11+C44+C76+C88+C96+C152</f>
        <v>16.706000000000003</v>
      </c>
      <c r="D166" s="11">
        <f t="shared" si="5"/>
        <v>1.56</v>
      </c>
      <c r="E166" s="11">
        <f t="shared" si="5"/>
        <v>11.827</v>
      </c>
      <c r="F166" s="12">
        <f t="shared" si="5"/>
        <v>0.185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s="24" customFormat="1" ht="33" customHeight="1">
      <c r="A167" s="26" t="s">
        <v>45</v>
      </c>
      <c r="B167" s="5">
        <f t="shared" si="4"/>
        <v>4095.671</v>
      </c>
      <c r="C167" s="11">
        <f>C16</f>
        <v>4095.671</v>
      </c>
      <c r="D167" s="11">
        <f>D16</f>
        <v>0</v>
      </c>
      <c r="E167" s="11">
        <f>E16</f>
        <v>0</v>
      </c>
      <c r="F167" s="12">
        <f>F16</f>
        <v>0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</row>
    <row r="168" spans="1:18" s="1" customFormat="1" ht="24.75" customHeight="1">
      <c r="A168" s="33" t="s">
        <v>46</v>
      </c>
      <c r="B168" s="5">
        <f t="shared" si="4"/>
        <v>8.47</v>
      </c>
      <c r="C168" s="11">
        <f>C18</f>
        <v>8.47</v>
      </c>
      <c r="D168" s="11">
        <f>D18</f>
        <v>0</v>
      </c>
      <c r="E168" s="11">
        <f>E18</f>
        <v>0</v>
      </c>
      <c r="F168" s="12">
        <f>F18</f>
        <v>0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8" s="24" customFormat="1" ht="24.75" customHeight="1">
      <c r="A169" s="100" t="s">
        <v>22</v>
      </c>
      <c r="B169" s="5">
        <f t="shared" si="4"/>
        <v>1183.306</v>
      </c>
      <c r="C169" s="11">
        <f>C7</f>
        <v>1183.306</v>
      </c>
      <c r="D169" s="11"/>
      <c r="E169" s="11"/>
      <c r="F169" s="12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</row>
    <row r="170" spans="1:18" s="4" customFormat="1" ht="24.75" customHeight="1" thickBot="1">
      <c r="A170" s="100" t="s">
        <v>23</v>
      </c>
      <c r="B170" s="31">
        <f t="shared" si="4"/>
        <v>2.901</v>
      </c>
      <c r="C170" s="102">
        <f>C8</f>
        <v>2.901</v>
      </c>
      <c r="D170" s="102"/>
      <c r="E170" s="102"/>
      <c r="F170" s="103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 thickBot="1">
      <c r="A171" s="98" t="s">
        <v>11</v>
      </c>
      <c r="B171" s="78">
        <f t="shared" si="4"/>
        <v>29360</v>
      </c>
      <c r="C171" s="104">
        <f>C172+C173+C174</f>
        <v>133.07000000000002</v>
      </c>
      <c r="D171" s="104">
        <f>D172+D173+D174</f>
        <v>1.62</v>
      </c>
      <c r="E171" s="104">
        <f>E172+E173+E174</f>
        <v>1689.542</v>
      </c>
      <c r="F171" s="105">
        <f>F172+F173+F174</f>
        <v>27535.768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106" t="s">
        <v>8</v>
      </c>
      <c r="B172" s="107">
        <f t="shared" si="4"/>
        <v>11536.793000000001</v>
      </c>
      <c r="C172" s="34">
        <f aca="true" t="shared" si="6" ref="C172:E174">C13+C26+C32+C38+C46+C52+C58+C64+C70+C82+C90+C98+C104+C110+C116+C122+C128+C134+C140+C146+C154+C160</f>
        <v>0.52</v>
      </c>
      <c r="D172" s="34">
        <f t="shared" si="6"/>
        <v>0</v>
      </c>
      <c r="E172" s="34">
        <f t="shared" si="6"/>
        <v>913.159</v>
      </c>
      <c r="F172" s="46">
        <f>F13+F26+F32+F38+F46+F52+F58+F64+F70+F82+F90+F98+F104+F110+F116+F122+F128+F134+F140+F146+F154+F160</f>
        <v>10623.114000000001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4.75" customHeight="1">
      <c r="A173" s="108" t="s">
        <v>39</v>
      </c>
      <c r="B173" s="107">
        <f>C173+D173+E173+F173</f>
        <v>549.6610000000001</v>
      </c>
      <c r="C173" s="34">
        <f t="shared" si="6"/>
        <v>0</v>
      </c>
      <c r="D173" s="34">
        <f t="shared" si="6"/>
        <v>0</v>
      </c>
      <c r="E173" s="34">
        <f>E14+E27+E33+E39+E47+E53+E59+E65+E71+E83+E91+E99+E105+E111+E117+E123+E129+E135+E141+E147+E155+E161</f>
        <v>158.48</v>
      </c>
      <c r="F173" s="46">
        <f>F14+F27+F33+F39+F47+F53+F59+F65+F71+F83+F91+F99+F105+F111+F117+F123+F129+F135+F141+F147+F155+F161</f>
        <v>391.18100000000004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4.75" customHeight="1" thickBot="1">
      <c r="A174" s="109" t="s">
        <v>9</v>
      </c>
      <c r="B174" s="107">
        <f>C174+D174+E174+F174</f>
        <v>17273.546</v>
      </c>
      <c r="C174" s="34">
        <f t="shared" si="6"/>
        <v>132.55</v>
      </c>
      <c r="D174" s="34">
        <f t="shared" si="6"/>
        <v>1.62</v>
      </c>
      <c r="E174" s="34">
        <f t="shared" si="6"/>
        <v>617.9029999999999</v>
      </c>
      <c r="F174" s="46">
        <f>F15+F28+F34+F40+F48+F54+F60+F66+F72+F84+F92+F100+F106+F112+F118+F124+F130+F136+F142+F148+F156+F162</f>
        <v>16521.472999999998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4.75" customHeight="1" thickBot="1">
      <c r="A175" s="110" t="s">
        <v>28</v>
      </c>
      <c r="B175" s="50">
        <f t="shared" si="4"/>
        <v>41.649</v>
      </c>
      <c r="C175" s="111">
        <f>C176+C177</f>
        <v>28.077</v>
      </c>
      <c r="D175" s="111">
        <f>D176+D177</f>
        <v>1.56</v>
      </c>
      <c r="E175" s="111">
        <f>E176+E177</f>
        <v>11.827</v>
      </c>
      <c r="F175" s="112">
        <f>F176+F177</f>
        <v>0.185</v>
      </c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4" customFormat="1" ht="27.75" customHeight="1">
      <c r="A176" s="113" t="s">
        <v>29</v>
      </c>
      <c r="B176" s="43">
        <f t="shared" si="4"/>
        <v>38.748000000000005</v>
      </c>
      <c r="C176" s="44">
        <f>C11+C18+C44+C76+C88+C96+C152</f>
        <v>25.176000000000002</v>
      </c>
      <c r="D176" s="44">
        <f>D11+D44+D76+D96</f>
        <v>1.56</v>
      </c>
      <c r="E176" s="44">
        <f>E11+E44+E76+E96</f>
        <v>11.827</v>
      </c>
      <c r="F176" s="45">
        <f>F11+F44+F76+F96</f>
        <v>0.185</v>
      </c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4" customFormat="1" ht="27.75" customHeight="1" thickBot="1">
      <c r="A177" s="114" t="s">
        <v>37</v>
      </c>
      <c r="B177" s="31">
        <f t="shared" si="4"/>
        <v>2.901</v>
      </c>
      <c r="C177" s="102">
        <f>C8</f>
        <v>2.901</v>
      </c>
      <c r="D177" s="102">
        <f>D8</f>
        <v>0</v>
      </c>
      <c r="E177" s="102">
        <f>E8</f>
        <v>0</v>
      </c>
      <c r="F177" s="103">
        <f>F8</f>
        <v>0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4" customFormat="1" ht="24" thickBot="1">
      <c r="A178" s="144"/>
      <c r="B178" s="73"/>
      <c r="C178" s="73"/>
      <c r="D178" s="73"/>
      <c r="E178" s="73"/>
      <c r="F178" s="73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22" customFormat="1" ht="26.25" customHeight="1" thickBot="1">
      <c r="A179" s="49" t="s">
        <v>51</v>
      </c>
      <c r="B179" s="50">
        <f>C179+D179+E179+F179</f>
        <v>78578.042</v>
      </c>
      <c r="C179" s="51">
        <f>C5</f>
        <v>23439.358000000004</v>
      </c>
      <c r="D179" s="51">
        <f>D5</f>
        <v>2303.084</v>
      </c>
      <c r="E179" s="51">
        <f>E5</f>
        <v>22718.721</v>
      </c>
      <c r="F179" s="51">
        <f>F5</f>
        <v>30116.879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22" customFormat="1" ht="26.25" customHeight="1" thickBot="1">
      <c r="A180" s="49" t="s">
        <v>53</v>
      </c>
      <c r="B180" s="50">
        <f>C180+D180+E180+F180</f>
        <v>4095.671</v>
      </c>
      <c r="C180" s="77">
        <f>C16</f>
        <v>4095.671</v>
      </c>
      <c r="D180" s="77">
        <f>D16</f>
        <v>0</v>
      </c>
      <c r="E180" s="77">
        <f>E16</f>
        <v>0</v>
      </c>
      <c r="F180" s="77">
        <f>F16</f>
        <v>0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22" customFormat="1" ht="26.25" customHeight="1" thickBot="1">
      <c r="A181" s="49" t="s">
        <v>52</v>
      </c>
      <c r="B181" s="50">
        <f>C181+D181+E181+F181</f>
        <v>41061.831</v>
      </c>
      <c r="C181" s="77">
        <f>C23+C29+C35+C41+C49+C55+C61+C67+C73+C85+C93+C101+C107+C113+C119+C125+C131+C137+C143+C149+C157</f>
        <v>15387.028</v>
      </c>
      <c r="D181" s="77">
        <f>D23+D29+D35+D41+D49+D55+D61+D67+D73+D85+D93+D101+D107+D113+D119+D125+D131+D137+D143+D149+D157</f>
        <v>0</v>
      </c>
      <c r="E181" s="77">
        <f>E23+E29+E35+E41+E49+E55+E61+E67+E73+E85+E93+E101+E107+E113+E119+E125+E131+E137+E143+E149+E157</f>
        <v>10420.171</v>
      </c>
      <c r="F181" s="77">
        <f>F23+F29+F35+F41+F49+F55+F61+F67+F73+F85+F93+F101+F107+F113+F119+F125+F131+F137+F143+F149+F157</f>
        <v>15254.632</v>
      </c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4" thickBot="1">
      <c r="A182" s="144"/>
      <c r="B182" s="115">
        <f>C182+D182+E182+F182</f>
        <v>123735.544</v>
      </c>
      <c r="C182" s="50">
        <f>SUM(C179:C181)</f>
        <v>42922.057</v>
      </c>
      <c r="D182" s="50">
        <f>SUM(D179:D181)</f>
        <v>2303.084</v>
      </c>
      <c r="E182" s="50">
        <f>SUM(E179:E181)</f>
        <v>33138.892</v>
      </c>
      <c r="F182" s="50">
        <f>SUM(F179:F181)</f>
        <v>45371.511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3.25">
      <c r="A183" s="145"/>
      <c r="B183" s="145"/>
      <c r="C183" s="145"/>
      <c r="D183" s="145"/>
      <c r="E183" s="145"/>
      <c r="F183" s="145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3.25">
      <c r="A184" s="145"/>
      <c r="B184" s="145"/>
      <c r="C184" s="145"/>
      <c r="D184" s="145"/>
      <c r="E184" s="145"/>
      <c r="F184" s="145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3.25">
      <c r="A185" s="145"/>
      <c r="B185" s="145"/>
      <c r="C185" s="145"/>
      <c r="D185" s="145"/>
      <c r="E185" s="145"/>
      <c r="F185" s="145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3.25">
      <c r="A186" s="145"/>
      <c r="B186" s="145"/>
      <c r="C186" s="145"/>
      <c r="D186" s="145"/>
      <c r="E186" s="145"/>
      <c r="F186" s="145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3.25">
      <c r="A187" s="145"/>
      <c r="B187" s="145"/>
      <c r="C187" s="145"/>
      <c r="D187" s="145"/>
      <c r="E187" s="145"/>
      <c r="F187" s="145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3.25">
      <c r="A188" s="145"/>
      <c r="B188" s="145"/>
      <c r="C188" s="145"/>
      <c r="D188" s="145"/>
      <c r="E188" s="145"/>
      <c r="F188" s="145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145"/>
      <c r="B189" s="145"/>
      <c r="C189" s="145"/>
      <c r="D189" s="145"/>
      <c r="E189" s="145"/>
      <c r="F189" s="145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3.25">
      <c r="A190" s="145"/>
      <c r="B190" s="145"/>
      <c r="C190" s="145"/>
      <c r="D190" s="145"/>
      <c r="E190" s="145"/>
      <c r="F190" s="145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3.25">
      <c r="A191" s="145"/>
      <c r="B191" s="145"/>
      <c r="C191" s="145"/>
      <c r="D191" s="145"/>
      <c r="E191" s="145"/>
      <c r="F191" s="145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45"/>
      <c r="B192" s="145"/>
      <c r="C192" s="145"/>
      <c r="D192" s="145"/>
      <c r="E192" s="145"/>
      <c r="F192" s="145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45"/>
      <c r="B193" s="145"/>
      <c r="C193" s="145"/>
      <c r="D193" s="145"/>
      <c r="E193" s="145"/>
      <c r="F193" s="145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45"/>
      <c r="B194" s="145"/>
      <c r="C194" s="145"/>
      <c r="D194" s="145"/>
      <c r="E194" s="145"/>
      <c r="F194" s="145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45"/>
      <c r="B195" s="145"/>
      <c r="C195" s="145"/>
      <c r="D195" s="145"/>
      <c r="E195" s="145"/>
      <c r="F195" s="145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45"/>
      <c r="B196" s="145"/>
      <c r="C196" s="145"/>
      <c r="D196" s="145"/>
      <c r="E196" s="145"/>
      <c r="F196" s="145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45"/>
      <c r="B197" s="145"/>
      <c r="C197" s="145"/>
      <c r="D197" s="145"/>
      <c r="E197" s="145"/>
      <c r="F197" s="14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45"/>
      <c r="B198" s="145"/>
      <c r="C198" s="145"/>
      <c r="D198" s="145"/>
      <c r="E198" s="145"/>
      <c r="F198" s="145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45"/>
      <c r="B199" s="145"/>
      <c r="C199" s="145"/>
      <c r="D199" s="145"/>
      <c r="E199" s="145"/>
      <c r="F199" s="145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45"/>
      <c r="B200" s="145"/>
      <c r="C200" s="145"/>
      <c r="D200" s="145"/>
      <c r="E200" s="145"/>
      <c r="F200" s="145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45"/>
      <c r="B201" s="145"/>
      <c r="C201" s="145"/>
      <c r="D201" s="145"/>
      <c r="E201" s="145"/>
      <c r="F201" s="145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45"/>
      <c r="B202" s="145"/>
      <c r="C202" s="145"/>
      <c r="D202" s="145"/>
      <c r="E202" s="145"/>
      <c r="F202" s="14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45"/>
      <c r="B203" s="145"/>
      <c r="C203" s="145"/>
      <c r="D203" s="145"/>
      <c r="E203" s="145"/>
      <c r="F203" s="145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45"/>
      <c r="B204" s="145"/>
      <c r="C204" s="145"/>
      <c r="D204" s="145"/>
      <c r="E204" s="145"/>
      <c r="F204" s="145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45"/>
      <c r="B205" s="145"/>
      <c r="C205" s="145"/>
      <c r="D205" s="145"/>
      <c r="E205" s="145"/>
      <c r="F205" s="145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45"/>
      <c r="B206" s="145"/>
      <c r="C206" s="145"/>
      <c r="D206" s="145"/>
      <c r="E206" s="145"/>
      <c r="F206" s="145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45"/>
      <c r="B207" s="145"/>
      <c r="C207" s="145"/>
      <c r="D207" s="145"/>
      <c r="E207" s="145"/>
      <c r="F207" s="145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45"/>
      <c r="B208" s="145"/>
      <c r="C208" s="145"/>
      <c r="D208" s="145"/>
      <c r="E208" s="145"/>
      <c r="F208" s="145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45"/>
      <c r="B209" s="145"/>
      <c r="C209" s="145"/>
      <c r="D209" s="145"/>
      <c r="E209" s="145"/>
      <c r="F209" s="145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45"/>
      <c r="B210" s="145"/>
      <c r="C210" s="145"/>
      <c r="D210" s="145"/>
      <c r="E210" s="145"/>
      <c r="F210" s="145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45"/>
      <c r="B211" s="145"/>
      <c r="C211" s="145"/>
      <c r="D211" s="145"/>
      <c r="E211" s="145"/>
      <c r="F211" s="145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  <row r="212" spans="1:18" s="4" customFormat="1" ht="23.25">
      <c r="A212" s="145"/>
      <c r="B212" s="145"/>
      <c r="C212" s="145"/>
      <c r="D212" s="145"/>
      <c r="E212" s="145"/>
      <c r="F212" s="145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</row>
    <row r="213" spans="1:18" s="4" customFormat="1" ht="23.25">
      <c r="A213" s="145"/>
      <c r="B213" s="145"/>
      <c r="C213" s="145"/>
      <c r="D213" s="145"/>
      <c r="E213" s="145"/>
      <c r="F213" s="145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</row>
    <row r="214" spans="1:18" s="4" customFormat="1" ht="23.25">
      <c r="A214" s="145"/>
      <c r="B214" s="145"/>
      <c r="C214" s="145"/>
      <c r="D214" s="145"/>
      <c r="E214" s="145"/>
      <c r="F214" s="145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1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" sqref="A9"/>
    </sheetView>
  </sheetViews>
  <sheetFormatPr defaultColWidth="9.00390625" defaultRowHeight="12.75"/>
  <cols>
    <col min="1" max="1" width="67.875" style="170" customWidth="1"/>
    <col min="2" max="6" width="25.25390625" style="170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68</v>
      </c>
      <c r="B2" s="278"/>
      <c r="C2" s="278"/>
      <c r="D2" s="278"/>
      <c r="E2" s="278"/>
      <c r="F2" s="278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79" t="s">
        <v>66</v>
      </c>
      <c r="B4" s="80"/>
      <c r="C4" s="81" t="s">
        <v>0</v>
      </c>
      <c r="D4" s="81" t="s">
        <v>1</v>
      </c>
      <c r="E4" s="81" t="s">
        <v>2</v>
      </c>
      <c r="F4" s="8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24.75" customHeight="1">
      <c r="A5" s="83" t="s">
        <v>20</v>
      </c>
      <c r="B5" s="43">
        <f aca="true" t="shared" si="0" ref="B5:B68">C5+D5+E5+F5</f>
        <v>78134.01199999999</v>
      </c>
      <c r="C5" s="67">
        <f>C7+C9+C10+C12</f>
        <v>24705.120999999996</v>
      </c>
      <c r="D5" s="67">
        <f>D7+D9+D10+D12</f>
        <v>2380.595</v>
      </c>
      <c r="E5" s="67">
        <f>E7+E9+E10+E12</f>
        <v>21176.500000000004</v>
      </c>
      <c r="F5" s="68">
        <f>F7+F9+F10+F12</f>
        <v>29871.795999999995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0.75" customHeight="1">
      <c r="A6" s="65" t="s">
        <v>27</v>
      </c>
      <c r="B6" s="5">
        <f t="shared" si="0"/>
        <v>19.132</v>
      </c>
      <c r="C6" s="14">
        <f>C8+C11</f>
        <v>7.635</v>
      </c>
      <c r="D6" s="14">
        <f>D8+D11</f>
        <v>1.54</v>
      </c>
      <c r="E6" s="14">
        <f>E8+E11</f>
        <v>9.773</v>
      </c>
      <c r="F6" s="15">
        <f>F8+F11</f>
        <v>0.184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24" customHeight="1">
      <c r="A7" s="65" t="s">
        <v>22</v>
      </c>
      <c r="B7" s="5">
        <f t="shared" si="0"/>
        <v>1102.072</v>
      </c>
      <c r="C7" s="14">
        <v>1102.072</v>
      </c>
      <c r="D7" s="14"/>
      <c r="E7" s="14"/>
      <c r="F7" s="15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24.75" customHeight="1">
      <c r="A8" s="65" t="s">
        <v>23</v>
      </c>
      <c r="B8" s="5">
        <f t="shared" si="0"/>
        <v>2.508</v>
      </c>
      <c r="C8" s="14">
        <v>2.508</v>
      </c>
      <c r="D8" s="14"/>
      <c r="E8" s="14"/>
      <c r="F8" s="15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20.25" customHeight="1">
      <c r="A9" s="32" t="s">
        <v>24</v>
      </c>
      <c r="B9" s="5">
        <f t="shared" si="0"/>
        <v>46579.526</v>
      </c>
      <c r="C9" s="6">
        <f>21908.907-432.99+2612.226-285.9-522.196-3280.146+164.003-3000.865+1102.072+C195+C196+C197</f>
        <v>18265.110999999997</v>
      </c>
      <c r="D9" s="6">
        <f>1821.69-59.517</f>
        <v>1762.173</v>
      </c>
      <c r="E9" s="6">
        <f>15325.406+1313.362+529.621-522.226+11.807-457.984-1097.801</f>
        <v>15102.185000000001</v>
      </c>
      <c r="F9" s="7">
        <f>10108.294+1401.488-11.807-90.378+50-7.54</f>
        <v>11450.056999999997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21.75" customHeight="1">
      <c r="A10" s="32" t="s">
        <v>25</v>
      </c>
      <c r="B10" s="176">
        <f t="shared" si="0"/>
        <v>11617.718</v>
      </c>
      <c r="C10" s="85">
        <f>3000.865+3418.064-1102.072-C195-C196-C197</f>
        <v>5316.857</v>
      </c>
      <c r="D10" s="85">
        <v>616.822</v>
      </c>
      <c r="E10" s="85">
        <v>5560.045</v>
      </c>
      <c r="F10" s="177">
        <v>123.994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21.75" customHeight="1">
      <c r="A11" s="32" t="s">
        <v>26</v>
      </c>
      <c r="B11" s="176">
        <f t="shared" si="0"/>
        <v>16.624</v>
      </c>
      <c r="C11" s="85">
        <f>1.169+0+5.866-2.368+2.368+0.6-C8</f>
        <v>5.127</v>
      </c>
      <c r="D11" s="178">
        <v>1.54</v>
      </c>
      <c r="E11" s="178">
        <v>9.773</v>
      </c>
      <c r="F11" s="179">
        <v>0.184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24.75" customHeight="1">
      <c r="A12" s="26" t="s">
        <v>7</v>
      </c>
      <c r="B12" s="5">
        <f t="shared" si="0"/>
        <v>18834.696</v>
      </c>
      <c r="C12" s="6">
        <f>C13+C14+C15</f>
        <v>21.081</v>
      </c>
      <c r="D12" s="14">
        <f>D13+D15</f>
        <v>1.6</v>
      </c>
      <c r="E12" s="14">
        <f>E13+E14+E15</f>
        <v>514.27</v>
      </c>
      <c r="F12" s="15">
        <f>F13+F14+F15</f>
        <v>18297.745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47.25" customHeight="1">
      <c r="A13" s="26" t="s">
        <v>8</v>
      </c>
      <c r="B13" s="5">
        <f t="shared" si="0"/>
        <v>5720.476999999999</v>
      </c>
      <c r="C13" s="9">
        <f>43.399-43.399</f>
        <v>0</v>
      </c>
      <c r="D13" s="9">
        <v>0</v>
      </c>
      <c r="E13" s="9">
        <f>224.118-60.682</f>
        <v>163.43599999999998</v>
      </c>
      <c r="F13" s="10">
        <f>4579.623+1256.301-414.483+135.6</f>
        <v>5557.040999999999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24.75" customHeight="1">
      <c r="A14" s="26" t="s">
        <v>39</v>
      </c>
      <c r="B14" s="5">
        <f t="shared" si="0"/>
        <v>0</v>
      </c>
      <c r="C14" s="9">
        <v>0</v>
      </c>
      <c r="D14" s="9">
        <v>0</v>
      </c>
      <c r="E14" s="9">
        <v>0</v>
      </c>
      <c r="F14" s="10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26.25" customHeight="1">
      <c r="A15" s="26" t="s">
        <v>9</v>
      </c>
      <c r="B15" s="5">
        <f t="shared" si="0"/>
        <v>13114.219</v>
      </c>
      <c r="C15" s="9">
        <v>21.081</v>
      </c>
      <c r="D15" s="9">
        <v>1.6</v>
      </c>
      <c r="E15" s="9">
        <f>727.735-376.901</f>
        <v>350.834</v>
      </c>
      <c r="F15" s="10">
        <f>10993.931+1181.99+414.483+150.3</f>
        <v>12740.704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24.75" customHeight="1">
      <c r="A16" s="65" t="s">
        <v>43</v>
      </c>
      <c r="B16" s="5">
        <f t="shared" si="0"/>
        <v>4284.484</v>
      </c>
      <c r="C16" s="14">
        <f>C17+C19</f>
        <v>4284.484</v>
      </c>
      <c r="D16" s="14">
        <f>D17+D19</f>
        <v>0</v>
      </c>
      <c r="E16" s="14">
        <f>E17+E19</f>
        <v>0</v>
      </c>
      <c r="F16" s="15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24.75" customHeight="1">
      <c r="A17" s="26" t="s">
        <v>10</v>
      </c>
      <c r="B17" s="173">
        <f t="shared" si="0"/>
        <v>4284.484</v>
      </c>
      <c r="C17" s="131">
        <f>4284.484</f>
        <v>4284.484</v>
      </c>
      <c r="D17" s="132"/>
      <c r="E17" s="132"/>
      <c r="F17" s="133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20.25" customHeight="1">
      <c r="A18" s="32" t="s">
        <v>44</v>
      </c>
      <c r="B18" s="180">
        <f t="shared" si="0"/>
        <v>7.9</v>
      </c>
      <c r="C18" s="131">
        <v>7.9</v>
      </c>
      <c r="D18" s="137"/>
      <c r="E18" s="137"/>
      <c r="F18" s="138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24.75" customHeight="1">
      <c r="A19" s="26" t="s">
        <v>7</v>
      </c>
      <c r="B19" s="5">
        <f t="shared" si="0"/>
        <v>0</v>
      </c>
      <c r="C19" s="14">
        <f>C20+C21+C22</f>
        <v>0</v>
      </c>
      <c r="D19" s="14">
        <f>D20+D21+D22</f>
        <v>0</v>
      </c>
      <c r="E19" s="14">
        <f>E20+E21+E22</f>
        <v>0</v>
      </c>
      <c r="F19" s="15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0.75" customHeight="1">
      <c r="A20" s="26" t="s">
        <v>8</v>
      </c>
      <c r="B20" s="5">
        <f t="shared" si="0"/>
        <v>0</v>
      </c>
      <c r="C20" s="134"/>
      <c r="D20" s="134"/>
      <c r="E20" s="134"/>
      <c r="F20" s="135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21.75" customHeight="1">
      <c r="A21" s="26" t="s">
        <v>39</v>
      </c>
      <c r="B21" s="5">
        <f>C21+D21+E21+F21</f>
        <v>0</v>
      </c>
      <c r="C21" s="9"/>
      <c r="D21" s="9"/>
      <c r="E21" s="9"/>
      <c r="F21" s="10"/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19.5" customHeight="1">
      <c r="A22" s="26" t="s">
        <v>9</v>
      </c>
      <c r="B22" s="174">
        <f t="shared" si="0"/>
        <v>0</v>
      </c>
      <c r="C22" s="132"/>
      <c r="D22" s="132"/>
      <c r="E22" s="132"/>
      <c r="F22" s="133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19.5" customHeight="1">
      <c r="A23" s="65" t="s">
        <v>19</v>
      </c>
      <c r="B23" s="5">
        <f t="shared" si="0"/>
        <v>6167.129</v>
      </c>
      <c r="C23" s="14">
        <f>C24+C25</f>
        <v>915.039</v>
      </c>
      <c r="D23" s="14"/>
      <c r="E23" s="14">
        <f>E24+E25</f>
        <v>2278.245</v>
      </c>
      <c r="F23" s="15">
        <f>F24+F25</f>
        <v>2973.8450000000003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20.25" customHeight="1">
      <c r="A24" s="26" t="s">
        <v>10</v>
      </c>
      <c r="B24" s="5">
        <f t="shared" si="0"/>
        <v>4012.185</v>
      </c>
      <c r="C24" s="6">
        <v>804.828</v>
      </c>
      <c r="D24" s="6">
        <v>0</v>
      </c>
      <c r="E24" s="6">
        <v>2051.399</v>
      </c>
      <c r="F24" s="7">
        <v>1155.958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19.5" customHeight="1">
      <c r="A25" s="26" t="s">
        <v>7</v>
      </c>
      <c r="B25" s="5">
        <f t="shared" si="0"/>
        <v>2154.944</v>
      </c>
      <c r="C25" s="14">
        <f>C26+C27+C28</f>
        <v>110.211</v>
      </c>
      <c r="D25" s="14">
        <f>D26+D27+D28</f>
        <v>0</v>
      </c>
      <c r="E25" s="14">
        <f>E26+E27+E28</f>
        <v>226.846</v>
      </c>
      <c r="F25" s="15">
        <f>F26+F27+F28</f>
        <v>1817.887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5.25" customHeight="1">
      <c r="A26" s="26" t="s">
        <v>8</v>
      </c>
      <c r="B26" s="5">
        <f t="shared" si="0"/>
        <v>1297.608</v>
      </c>
      <c r="C26" s="9"/>
      <c r="D26" s="9"/>
      <c r="E26" s="9">
        <v>79.604</v>
      </c>
      <c r="F26" s="10">
        <v>1218.004</v>
      </c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19.5" customHeight="1">
      <c r="A27" s="26" t="s">
        <v>39</v>
      </c>
      <c r="B27" s="5">
        <f t="shared" si="0"/>
        <v>0</v>
      </c>
      <c r="C27" s="9"/>
      <c r="D27" s="9"/>
      <c r="E27" s="9"/>
      <c r="F27" s="10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27.75" customHeight="1">
      <c r="A28" s="26" t="s">
        <v>9</v>
      </c>
      <c r="B28" s="5">
        <f t="shared" si="0"/>
        <v>857.336</v>
      </c>
      <c r="C28" s="9">
        <f>128.292-18.081</f>
        <v>110.211</v>
      </c>
      <c r="D28" s="9"/>
      <c r="E28" s="9">
        <f>247.242-100</f>
        <v>147.242</v>
      </c>
      <c r="F28" s="10">
        <v>599.883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19.5" customHeight="1">
      <c r="A29" s="65" t="s">
        <v>55</v>
      </c>
      <c r="B29" s="5">
        <f t="shared" si="0"/>
        <v>1471.405</v>
      </c>
      <c r="C29" s="14">
        <f>C30+C31</f>
        <v>1471.405</v>
      </c>
      <c r="D29" s="6"/>
      <c r="E29" s="6"/>
      <c r="F29" s="7"/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20.25" customHeight="1">
      <c r="A30" s="26" t="s">
        <v>10</v>
      </c>
      <c r="B30" s="5">
        <f t="shared" si="0"/>
        <v>1471.187</v>
      </c>
      <c r="C30" s="6">
        <v>1471.187</v>
      </c>
      <c r="D30" s="6"/>
      <c r="E30" s="14"/>
      <c r="F30" s="15"/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19.5" customHeight="1">
      <c r="A31" s="26" t="s">
        <v>7</v>
      </c>
      <c r="B31" s="5">
        <f>C31+D31+E31+F31</f>
        <v>0.21799999999999997</v>
      </c>
      <c r="C31" s="14">
        <f>C32+C33+C34</f>
        <v>0.21799999999999997</v>
      </c>
      <c r="D31" s="14">
        <f>D32+D33+D34</f>
        <v>0</v>
      </c>
      <c r="E31" s="14">
        <f>E32+E33+E34</f>
        <v>0</v>
      </c>
      <c r="F31" s="15">
        <f>F32+F33+F34</f>
        <v>0</v>
      </c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42.75" customHeight="1">
      <c r="A32" s="26" t="s">
        <v>8</v>
      </c>
      <c r="B32" s="5">
        <f t="shared" si="0"/>
        <v>0.21799999999999997</v>
      </c>
      <c r="C32" s="9">
        <f>3.013-2.795</f>
        <v>0.21799999999999997</v>
      </c>
      <c r="D32" s="9"/>
      <c r="E32" s="9"/>
      <c r="F32" s="10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21.75" customHeight="1">
      <c r="A33" s="26" t="s">
        <v>39</v>
      </c>
      <c r="B33" s="5">
        <f>C33+D33+E33+F33</f>
        <v>0</v>
      </c>
      <c r="C33" s="9"/>
      <c r="D33" s="9"/>
      <c r="E33" s="9"/>
      <c r="F33" s="10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21" customHeight="1">
      <c r="A34" s="26" t="s">
        <v>9</v>
      </c>
      <c r="B34" s="5">
        <f t="shared" si="0"/>
        <v>0</v>
      </c>
      <c r="C34" s="9"/>
      <c r="D34" s="9"/>
      <c r="E34" s="9"/>
      <c r="F34" s="10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21.75" customHeight="1">
      <c r="A35" s="65" t="s">
        <v>61</v>
      </c>
      <c r="B35" s="5">
        <f t="shared" si="0"/>
        <v>0</v>
      </c>
      <c r="C35" s="14">
        <f>C36+C37</f>
        <v>0</v>
      </c>
      <c r="D35" s="14">
        <f>D36+D37</f>
        <v>0</v>
      </c>
      <c r="E35" s="14">
        <f>E36+E37</f>
        <v>0</v>
      </c>
      <c r="F35" s="15">
        <f>F36+F37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20.25" customHeight="1">
      <c r="A36" s="26" t="s">
        <v>10</v>
      </c>
      <c r="B36" s="5">
        <f t="shared" si="0"/>
        <v>0</v>
      </c>
      <c r="C36" s="6"/>
      <c r="D36" s="6"/>
      <c r="E36" s="6"/>
      <c r="F36" s="7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21" customHeight="1">
      <c r="A37" s="26" t="s">
        <v>7</v>
      </c>
      <c r="B37" s="5">
        <f>C37+D37+E37+F37</f>
        <v>0</v>
      </c>
      <c r="C37" s="14">
        <f>C38+C39+C40</f>
        <v>0</v>
      </c>
      <c r="D37" s="14">
        <f>D38+D39+D40</f>
        <v>0</v>
      </c>
      <c r="E37" s="14">
        <f>E38+E39+E40</f>
        <v>0</v>
      </c>
      <c r="F37" s="15">
        <f>F38+F39+F40</f>
        <v>0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9" customHeight="1">
      <c r="A38" s="26" t="s">
        <v>8</v>
      </c>
      <c r="B38" s="5">
        <f t="shared" si="0"/>
        <v>0</v>
      </c>
      <c r="C38" s="9"/>
      <c r="D38" s="9"/>
      <c r="E38" s="9"/>
      <c r="F38" s="10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9.75" customHeight="1">
      <c r="A39" s="26" t="s">
        <v>39</v>
      </c>
      <c r="B39" s="5">
        <f t="shared" si="0"/>
        <v>0</v>
      </c>
      <c r="C39" s="9"/>
      <c r="D39" s="9"/>
      <c r="E39" s="9"/>
      <c r="F39" s="10"/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44.25" customHeight="1">
      <c r="A40" s="26" t="s">
        <v>9</v>
      </c>
      <c r="B40" s="5">
        <f t="shared" si="0"/>
        <v>0</v>
      </c>
      <c r="C40" s="9"/>
      <c r="D40" s="9"/>
      <c r="E40" s="9"/>
      <c r="F40" s="10"/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0.75" customHeight="1">
      <c r="A41" s="65" t="s">
        <v>47</v>
      </c>
      <c r="B41" s="5">
        <f t="shared" si="0"/>
        <v>12678.101999999999</v>
      </c>
      <c r="C41" s="14">
        <f>C42+C43+C45</f>
        <v>6848.622</v>
      </c>
      <c r="D41" s="14"/>
      <c r="E41" s="14">
        <f>E42+E45</f>
        <v>2203.8669999999997</v>
      </c>
      <c r="F41" s="15">
        <f>F42+F45</f>
        <v>3625.6129999999994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20.25" customHeight="1">
      <c r="A42" s="32" t="s">
        <v>21</v>
      </c>
      <c r="B42" s="5">
        <f t="shared" si="0"/>
        <v>5096.824</v>
      </c>
      <c r="C42" s="6">
        <f>6848.622-C43</f>
        <v>1728.929</v>
      </c>
      <c r="D42" s="6"/>
      <c r="E42" s="14">
        <v>2133.142</v>
      </c>
      <c r="F42" s="15">
        <v>1234.753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20.25" customHeight="1">
      <c r="A43" s="89" t="s">
        <v>36</v>
      </c>
      <c r="B43" s="5">
        <f t="shared" si="0"/>
        <v>5119.693</v>
      </c>
      <c r="C43" s="6">
        <v>5119.693</v>
      </c>
      <c r="D43" s="6"/>
      <c r="E43" s="6"/>
      <c r="F43" s="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20.25" customHeight="1">
      <c r="A44" s="32" t="s">
        <v>26</v>
      </c>
      <c r="B44" s="181">
        <f t="shared" si="0"/>
        <v>7.048</v>
      </c>
      <c r="C44" s="85">
        <v>7.048</v>
      </c>
      <c r="D44" s="84"/>
      <c r="E44" s="84"/>
      <c r="F44" s="3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20.25" customHeight="1">
      <c r="A45" s="26" t="s">
        <v>7</v>
      </c>
      <c r="B45" s="5">
        <f t="shared" si="0"/>
        <v>2461.5849999999996</v>
      </c>
      <c r="C45" s="14">
        <f>C46+C47+C48</f>
        <v>0</v>
      </c>
      <c r="D45" s="14">
        <f>D46+D47+D48</f>
        <v>0</v>
      </c>
      <c r="E45" s="14">
        <f>E46+E47+E48</f>
        <v>70.725</v>
      </c>
      <c r="F45" s="15">
        <f>F46+F47+F48</f>
        <v>2390.8599999999997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9.75" customHeight="1">
      <c r="A46" s="26" t="s">
        <v>8</v>
      </c>
      <c r="B46" s="5">
        <f t="shared" si="0"/>
        <v>2311.1569999999997</v>
      </c>
      <c r="C46" s="9"/>
      <c r="D46" s="9"/>
      <c r="E46" s="9">
        <v>70.725</v>
      </c>
      <c r="F46" s="10">
        <v>2240.432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22.5" customHeight="1">
      <c r="A47" s="26" t="s">
        <v>39</v>
      </c>
      <c r="B47" s="5">
        <f t="shared" si="0"/>
        <v>118.828</v>
      </c>
      <c r="C47" s="9"/>
      <c r="D47" s="9"/>
      <c r="E47" s="9"/>
      <c r="F47" s="10">
        <f>29.31+89.518</f>
        <v>118.828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24.75" customHeight="1">
      <c r="A48" s="26" t="s">
        <v>9</v>
      </c>
      <c r="B48" s="5">
        <f t="shared" si="0"/>
        <v>31.6</v>
      </c>
      <c r="C48" s="9"/>
      <c r="D48" s="9"/>
      <c r="E48" s="9"/>
      <c r="F48" s="10">
        <v>31.6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18" customHeight="1">
      <c r="A49" s="65" t="s">
        <v>60</v>
      </c>
      <c r="B49" s="5">
        <f t="shared" si="0"/>
        <v>111.18299999999999</v>
      </c>
      <c r="C49" s="14"/>
      <c r="D49" s="14"/>
      <c r="E49" s="14">
        <f>E50+E51</f>
        <v>53.463</v>
      </c>
      <c r="F49" s="15">
        <f>F50+F51</f>
        <v>57.72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20.25" customHeight="1">
      <c r="A50" s="26" t="s">
        <v>10</v>
      </c>
      <c r="B50" s="5">
        <f t="shared" si="0"/>
        <v>83.96000000000001</v>
      </c>
      <c r="C50" s="6"/>
      <c r="D50" s="6"/>
      <c r="E50" s="14">
        <v>53.463</v>
      </c>
      <c r="F50" s="15">
        <v>30.497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18" customHeight="1">
      <c r="A51" s="26" t="s">
        <v>7</v>
      </c>
      <c r="B51" s="5">
        <f t="shared" si="0"/>
        <v>27.223</v>
      </c>
      <c r="C51" s="14">
        <f>C52+C53+C54</f>
        <v>0</v>
      </c>
      <c r="D51" s="14">
        <f>D52+D53+D54</f>
        <v>0</v>
      </c>
      <c r="E51" s="14">
        <f>E52+E53+E54</f>
        <v>0</v>
      </c>
      <c r="F51" s="15">
        <f>F52+F53+F54</f>
        <v>27.223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40.5" customHeight="1">
      <c r="A52" s="26" t="s">
        <v>8</v>
      </c>
      <c r="B52" s="5">
        <f t="shared" si="0"/>
        <v>21.872</v>
      </c>
      <c r="C52" s="9"/>
      <c r="D52" s="9"/>
      <c r="E52" s="9"/>
      <c r="F52" s="10">
        <v>21.872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23.25" customHeight="1">
      <c r="A53" s="26" t="s">
        <v>39</v>
      </c>
      <c r="B53" s="5">
        <f>C53+D53+E53+F53</f>
        <v>0</v>
      </c>
      <c r="C53" s="9"/>
      <c r="D53" s="9"/>
      <c r="E53" s="9"/>
      <c r="F53" s="10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23.25" customHeight="1">
      <c r="A54" s="26" t="s">
        <v>9</v>
      </c>
      <c r="B54" s="5">
        <f t="shared" si="0"/>
        <v>5.351</v>
      </c>
      <c r="C54" s="9"/>
      <c r="D54" s="9"/>
      <c r="E54" s="9"/>
      <c r="F54" s="10">
        <v>5.351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23.25" customHeight="1">
      <c r="A55" s="65" t="s">
        <v>59</v>
      </c>
      <c r="B55" s="5">
        <f t="shared" si="0"/>
        <v>13.843</v>
      </c>
      <c r="C55" s="14">
        <f>C56+C57</f>
        <v>0</v>
      </c>
      <c r="D55" s="14"/>
      <c r="E55" s="14">
        <f>E56+E57</f>
        <v>0</v>
      </c>
      <c r="F55" s="15">
        <f>F56+F57</f>
        <v>13.843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20.25" customHeight="1">
      <c r="A56" s="26" t="s">
        <v>10</v>
      </c>
      <c r="B56" s="5">
        <f t="shared" si="0"/>
        <v>13.843</v>
      </c>
      <c r="C56" s="6"/>
      <c r="D56" s="6"/>
      <c r="E56" s="6"/>
      <c r="F56" s="7">
        <v>13.843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23.25" customHeight="1">
      <c r="A57" s="26" t="s">
        <v>7</v>
      </c>
      <c r="B57" s="5">
        <f t="shared" si="0"/>
        <v>0</v>
      </c>
      <c r="C57" s="14">
        <f>C58+C59+C60</f>
        <v>0</v>
      </c>
      <c r="D57" s="14">
        <f>D58+D59+D60</f>
        <v>0</v>
      </c>
      <c r="E57" s="14">
        <f>E58+E59+E60</f>
        <v>0</v>
      </c>
      <c r="F57" s="15">
        <f>F58+F59+F60</f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8.25" customHeight="1">
      <c r="A58" s="26" t="s">
        <v>8</v>
      </c>
      <c r="B58" s="5">
        <f t="shared" si="0"/>
        <v>0</v>
      </c>
      <c r="C58" s="14"/>
      <c r="D58" s="14"/>
      <c r="E58" s="14"/>
      <c r="F58" s="10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19.5" customHeight="1">
      <c r="A59" s="26" t="s">
        <v>39</v>
      </c>
      <c r="B59" s="5">
        <f t="shared" si="0"/>
        <v>0</v>
      </c>
      <c r="C59" s="9"/>
      <c r="D59" s="9"/>
      <c r="E59" s="9"/>
      <c r="F59" s="10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19.5" customHeight="1">
      <c r="A60" s="26" t="s">
        <v>9</v>
      </c>
      <c r="B60" s="5">
        <f t="shared" si="0"/>
        <v>0</v>
      </c>
      <c r="C60" s="14"/>
      <c r="D60" s="14"/>
      <c r="E60" s="14"/>
      <c r="F60" s="1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19.5" customHeight="1">
      <c r="A61" s="65" t="s">
        <v>48</v>
      </c>
      <c r="B61" s="5">
        <f t="shared" si="0"/>
        <v>2426.7980000000002</v>
      </c>
      <c r="C61" s="14">
        <f>C62+C63</f>
        <v>2342.922</v>
      </c>
      <c r="D61" s="14"/>
      <c r="E61" s="14">
        <f>E62+E63</f>
        <v>83.876</v>
      </c>
      <c r="F61" s="1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20.25" customHeight="1">
      <c r="A62" s="26" t="s">
        <v>10</v>
      </c>
      <c r="B62" s="5">
        <f t="shared" si="0"/>
        <v>2426.7980000000002</v>
      </c>
      <c r="C62" s="6">
        <v>2342.922</v>
      </c>
      <c r="D62" s="6"/>
      <c r="E62" s="6">
        <v>83.876</v>
      </c>
      <c r="F62" s="7"/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19.5" customHeight="1">
      <c r="A63" s="26" t="s">
        <v>7</v>
      </c>
      <c r="B63" s="5">
        <f t="shared" si="0"/>
        <v>0</v>
      </c>
      <c r="C63" s="14">
        <f>C64+C65+C66</f>
        <v>0</v>
      </c>
      <c r="D63" s="14">
        <f>D64+D65+D66</f>
        <v>0</v>
      </c>
      <c r="E63" s="14">
        <f>E64+E65+E66</f>
        <v>0</v>
      </c>
      <c r="F63" s="15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24.75" customHeight="1">
      <c r="A64" s="26" t="s">
        <v>8</v>
      </c>
      <c r="B64" s="5">
        <f t="shared" si="0"/>
        <v>0</v>
      </c>
      <c r="C64" s="14"/>
      <c r="D64" s="14"/>
      <c r="E64" s="14"/>
      <c r="F64" s="10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23.25" customHeight="1">
      <c r="A65" s="26" t="s">
        <v>39</v>
      </c>
      <c r="B65" s="5">
        <f>C65+D65+E65+F65</f>
        <v>0</v>
      </c>
      <c r="C65" s="9"/>
      <c r="D65" s="9"/>
      <c r="E65" s="9"/>
      <c r="F65" s="10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23.25" customHeight="1">
      <c r="A66" s="26" t="s">
        <v>9</v>
      </c>
      <c r="B66" s="5">
        <f t="shared" si="0"/>
        <v>0</v>
      </c>
      <c r="C66" s="14"/>
      <c r="D66" s="14"/>
      <c r="E66" s="14"/>
      <c r="F66" s="1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23.25" customHeight="1">
      <c r="A67" s="92" t="s">
        <v>16</v>
      </c>
      <c r="B67" s="5">
        <f t="shared" si="0"/>
        <v>550.141</v>
      </c>
      <c r="C67" s="8"/>
      <c r="D67" s="6"/>
      <c r="E67" s="6">
        <f>E68+E69</f>
        <v>400.666</v>
      </c>
      <c r="F67" s="7">
        <f>F68+F69</f>
        <v>149.475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20.25" customHeight="1">
      <c r="A68" s="26" t="s">
        <v>10</v>
      </c>
      <c r="B68" s="5">
        <f t="shared" si="0"/>
        <v>550.141</v>
      </c>
      <c r="C68" s="6"/>
      <c r="D68" s="6"/>
      <c r="E68" s="14">
        <v>400.666</v>
      </c>
      <c r="F68" s="15">
        <v>149.475</v>
      </c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23.25" customHeight="1">
      <c r="A69" s="26" t="s">
        <v>7</v>
      </c>
      <c r="B69" s="5">
        <f aca="true" t="shared" si="1" ref="B69:B114">C69+D69+E69+F69</f>
        <v>0</v>
      </c>
      <c r="C69" s="14">
        <f>C70+C71+C72</f>
        <v>0</v>
      </c>
      <c r="D69" s="14">
        <f>D70+D71+D72</f>
        <v>0</v>
      </c>
      <c r="E69" s="14">
        <f>E70+E71+E72</f>
        <v>0</v>
      </c>
      <c r="F69" s="15">
        <f>F70+F71+F72</f>
        <v>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23.25" customHeight="1">
      <c r="A70" s="26" t="s">
        <v>8</v>
      </c>
      <c r="B70" s="5">
        <f t="shared" si="1"/>
        <v>0</v>
      </c>
      <c r="C70" s="8"/>
      <c r="D70" s="6"/>
      <c r="E70" s="8"/>
      <c r="F70" s="1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47.25" customHeight="1">
      <c r="A71" s="26" t="s">
        <v>39</v>
      </c>
      <c r="B71" s="5">
        <f t="shared" si="1"/>
        <v>0</v>
      </c>
      <c r="C71" s="9"/>
      <c r="D71" s="9"/>
      <c r="E71" s="9"/>
      <c r="F71" s="10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56.25" customHeight="1">
      <c r="A72" s="26" t="s">
        <v>9</v>
      </c>
      <c r="B72" s="5">
        <f t="shared" si="1"/>
        <v>0</v>
      </c>
      <c r="C72" s="8"/>
      <c r="D72" s="6"/>
      <c r="E72" s="8"/>
      <c r="F72" s="1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6" customHeight="1">
      <c r="A73" s="92" t="s">
        <v>4</v>
      </c>
      <c r="B73" s="5">
        <f t="shared" si="1"/>
        <v>811.439</v>
      </c>
      <c r="C73" s="6">
        <f>C74+C75+C81</f>
        <v>811.439</v>
      </c>
      <c r="D73" s="6"/>
      <c r="E73" s="6"/>
      <c r="F73" s="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28.5" customHeight="1">
      <c r="A74" s="32" t="s">
        <v>21</v>
      </c>
      <c r="B74" s="5">
        <f t="shared" si="1"/>
        <v>388.62</v>
      </c>
      <c r="C74" s="14">
        <f>811.439-C75</f>
        <v>388.62</v>
      </c>
      <c r="D74" s="6"/>
      <c r="E74" s="14"/>
      <c r="F74" s="1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28.5" customHeight="1">
      <c r="A75" s="89" t="s">
        <v>30</v>
      </c>
      <c r="B75" s="173">
        <f t="shared" si="1"/>
        <v>422.81899999999996</v>
      </c>
      <c r="C75" s="52">
        <f>C77+C79</f>
        <v>422.81899999999996</v>
      </c>
      <c r="D75" s="118"/>
      <c r="E75" s="118"/>
      <c r="F75" s="1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28.5" customHeight="1">
      <c r="A76" s="32" t="s">
        <v>31</v>
      </c>
      <c r="B76" s="180">
        <f t="shared" si="1"/>
        <v>0.728</v>
      </c>
      <c r="C76" s="52">
        <f>C78+C80</f>
        <v>0.728</v>
      </c>
      <c r="D76" s="118"/>
      <c r="E76" s="118"/>
      <c r="F76" s="1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28.5" customHeight="1">
      <c r="A77" s="66" t="s">
        <v>32</v>
      </c>
      <c r="B77" s="182">
        <f t="shared" si="1"/>
        <v>261.592</v>
      </c>
      <c r="C77" s="41">
        <v>261.592</v>
      </c>
      <c r="D77" s="40"/>
      <c r="E77" s="40"/>
      <c r="F77" s="1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23.25" customHeight="1">
      <c r="A78" s="66" t="s">
        <v>33</v>
      </c>
      <c r="B78" s="182">
        <f t="shared" si="1"/>
        <v>0.419</v>
      </c>
      <c r="C78" s="41">
        <v>0.419</v>
      </c>
      <c r="D78" s="41"/>
      <c r="E78" s="41"/>
      <c r="F78" s="1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23.25" customHeight="1">
      <c r="A79" s="66" t="s">
        <v>34</v>
      </c>
      <c r="B79" s="182">
        <f t="shared" si="1"/>
        <v>161.227</v>
      </c>
      <c r="C79" s="41">
        <v>161.227</v>
      </c>
      <c r="D79" s="40"/>
      <c r="E79" s="40"/>
      <c r="F79" s="1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20.25" customHeight="1">
      <c r="A80" s="66" t="s">
        <v>35</v>
      </c>
      <c r="B80" s="182">
        <f t="shared" si="1"/>
        <v>0.309</v>
      </c>
      <c r="C80" s="41">
        <v>0.309</v>
      </c>
      <c r="D80" s="41"/>
      <c r="E80" s="41"/>
      <c r="F80" s="15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23.25" customHeight="1">
      <c r="A81" s="26" t="s">
        <v>7</v>
      </c>
      <c r="B81" s="5">
        <f t="shared" si="1"/>
        <v>0</v>
      </c>
      <c r="C81" s="14">
        <f>C82+C83+C84</f>
        <v>0</v>
      </c>
      <c r="D81" s="14">
        <f>D82+D83+D84</f>
        <v>0</v>
      </c>
      <c r="E81" s="14">
        <f>E82+E83+E84</f>
        <v>0</v>
      </c>
      <c r="F81" s="15">
        <f>F82+F83+F84</f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51" customHeight="1">
      <c r="A82" s="26" t="s">
        <v>8</v>
      </c>
      <c r="B82" s="5">
        <f t="shared" si="1"/>
        <v>0</v>
      </c>
      <c r="C82" s="9"/>
      <c r="D82" s="6"/>
      <c r="E82" s="6"/>
      <c r="F82" s="7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27" customHeight="1">
      <c r="A83" s="26" t="s">
        <v>39</v>
      </c>
      <c r="B83" s="5">
        <f t="shared" si="1"/>
        <v>0</v>
      </c>
      <c r="C83" s="9"/>
      <c r="D83" s="9"/>
      <c r="E83" s="9"/>
      <c r="F83" s="10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6.75" customHeight="1">
      <c r="A84" s="26" t="s">
        <v>9</v>
      </c>
      <c r="B84" s="5">
        <f t="shared" si="1"/>
        <v>0</v>
      </c>
      <c r="C84" s="9"/>
      <c r="D84" s="6"/>
      <c r="E84" s="6"/>
      <c r="F84" s="7"/>
      <c r="G84" s="120"/>
      <c r="H84" s="120"/>
    </row>
    <row r="85" spans="1:8" s="30" customFormat="1" ht="25.5" customHeight="1">
      <c r="A85" s="65" t="s">
        <v>58</v>
      </c>
      <c r="B85" s="5">
        <f t="shared" si="1"/>
        <v>1999.5652</v>
      </c>
      <c r="C85" s="14">
        <f>C86+C87</f>
        <v>1157.484</v>
      </c>
      <c r="D85" s="14">
        <f>D86+D89</f>
        <v>0</v>
      </c>
      <c r="E85" s="14">
        <f>E86+E89</f>
        <v>413.3762</v>
      </c>
      <c r="F85" s="15">
        <f>F86+F89</f>
        <v>428.70500000000004</v>
      </c>
      <c r="G85" s="120"/>
      <c r="H85" s="120"/>
    </row>
    <row r="86" spans="1:18" s="3" customFormat="1" ht="23.25" customHeight="1">
      <c r="A86" s="26" t="s">
        <v>10</v>
      </c>
      <c r="B86" s="5">
        <f t="shared" si="1"/>
        <v>749.9401999999998</v>
      </c>
      <c r="C86" s="14">
        <f>1157.484-C87</f>
        <v>208.37999999999988</v>
      </c>
      <c r="D86" s="14"/>
      <c r="E86" s="14">
        <f>425.183-11.8068</f>
        <v>413.3762</v>
      </c>
      <c r="F86" s="15">
        <v>128.184</v>
      </c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23.25" customHeight="1">
      <c r="A87" s="32" t="s">
        <v>49</v>
      </c>
      <c r="B87" s="5">
        <f>C87+D87+E87+F87</f>
        <v>949.104</v>
      </c>
      <c r="C87" s="94">
        <v>949.104</v>
      </c>
      <c r="D87" s="6"/>
      <c r="E87" s="6"/>
      <c r="F87" s="7"/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20.25" customHeight="1">
      <c r="A88" s="32" t="s">
        <v>26</v>
      </c>
      <c r="B88" s="180">
        <f>C88+D88+E88+F88</f>
        <v>1.43</v>
      </c>
      <c r="C88" s="94">
        <v>1.43</v>
      </c>
      <c r="D88" s="84"/>
      <c r="E88" s="84"/>
      <c r="F88" s="39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23.25" customHeight="1">
      <c r="A89" s="26" t="s">
        <v>7</v>
      </c>
      <c r="B89" s="5">
        <f>C89+D89+E89+F89</f>
        <v>300.521</v>
      </c>
      <c r="C89" s="14">
        <f>C90+C91+C92</f>
        <v>0</v>
      </c>
      <c r="D89" s="14">
        <f>D90+D91+D92</f>
        <v>0</v>
      </c>
      <c r="E89" s="14">
        <f>E90+E91+E92</f>
        <v>0</v>
      </c>
      <c r="F89" s="15">
        <f>F90+F91+F92</f>
        <v>300.521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23.25" customHeight="1">
      <c r="A90" s="26" t="s">
        <v>8</v>
      </c>
      <c r="B90" s="5">
        <f t="shared" si="1"/>
        <v>262.036</v>
      </c>
      <c r="C90" s="9"/>
      <c r="D90" s="6"/>
      <c r="E90" s="6"/>
      <c r="F90" s="13">
        <v>262.036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23.25" customHeight="1">
      <c r="A91" s="26" t="s">
        <v>39</v>
      </c>
      <c r="B91" s="5">
        <f>C91+D91+E91+F91</f>
        <v>0</v>
      </c>
      <c r="C91" s="9"/>
      <c r="D91" s="9"/>
      <c r="E91" s="9"/>
      <c r="F91" s="10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6.75" customHeight="1">
      <c r="A92" s="26" t="s">
        <v>9</v>
      </c>
      <c r="B92" s="5">
        <f t="shared" si="1"/>
        <v>38.485</v>
      </c>
      <c r="C92" s="9"/>
      <c r="D92" s="6"/>
      <c r="E92" s="6"/>
      <c r="F92" s="13">
        <v>38.485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27" customHeight="1">
      <c r="A93" s="65" t="s">
        <v>15</v>
      </c>
      <c r="B93" s="5">
        <f t="shared" si="1"/>
        <v>2492.8439999999996</v>
      </c>
      <c r="C93" s="6">
        <f>C94+C95+C97</f>
        <v>2479.769</v>
      </c>
      <c r="D93" s="6"/>
      <c r="E93" s="6">
        <f>E94+E97</f>
        <v>0</v>
      </c>
      <c r="F93" s="7">
        <f>F94+F97</f>
        <v>13.075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23.25" customHeight="1">
      <c r="A94" s="26" t="s">
        <v>10</v>
      </c>
      <c r="B94" s="5">
        <f t="shared" si="1"/>
        <v>980.1839999999997</v>
      </c>
      <c r="C94" s="14">
        <f>2479.769-C95</f>
        <v>967.1089999999997</v>
      </c>
      <c r="D94" s="14"/>
      <c r="E94" s="14"/>
      <c r="F94" s="15">
        <v>13.075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23.25" customHeight="1">
      <c r="A95" s="32" t="s">
        <v>38</v>
      </c>
      <c r="B95" s="5">
        <f t="shared" si="1"/>
        <v>1512.66</v>
      </c>
      <c r="C95" s="94">
        <v>1512.66</v>
      </c>
      <c r="D95" s="6"/>
      <c r="E95" s="6"/>
      <c r="F95" s="7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20.25" customHeight="1">
      <c r="A96" s="32" t="s">
        <v>26</v>
      </c>
      <c r="B96" s="180">
        <f t="shared" si="1"/>
        <v>2.299</v>
      </c>
      <c r="C96" s="94">
        <v>2.299</v>
      </c>
      <c r="D96" s="84"/>
      <c r="E96" s="84"/>
      <c r="F96" s="39"/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23.25" customHeight="1">
      <c r="A97" s="26" t="s">
        <v>7</v>
      </c>
      <c r="B97" s="5">
        <f t="shared" si="1"/>
        <v>0</v>
      </c>
      <c r="C97" s="14">
        <f>C98+C99+C100</f>
        <v>0</v>
      </c>
      <c r="D97" s="14">
        <f>D98+D99+D100</f>
        <v>0</v>
      </c>
      <c r="E97" s="14">
        <f>E98+E99+E100</f>
        <v>0</v>
      </c>
      <c r="F97" s="15">
        <f>F98+F99+F100</f>
        <v>0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23.25" customHeight="1">
      <c r="A98" s="26" t="s">
        <v>8</v>
      </c>
      <c r="B98" s="5">
        <f t="shared" si="1"/>
        <v>0</v>
      </c>
      <c r="C98" s="9"/>
      <c r="D98" s="6"/>
      <c r="E98" s="8"/>
      <c r="F98" s="1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23.25" customHeight="1">
      <c r="A99" s="26" t="s">
        <v>39</v>
      </c>
      <c r="B99" s="5">
        <f t="shared" si="1"/>
        <v>0</v>
      </c>
      <c r="C99" s="9"/>
      <c r="D99" s="9"/>
      <c r="E99" s="9"/>
      <c r="F99" s="10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23.25" customHeight="1">
      <c r="A100" s="26" t="s">
        <v>9</v>
      </c>
      <c r="B100" s="5">
        <f t="shared" si="1"/>
        <v>0</v>
      </c>
      <c r="C100" s="9"/>
      <c r="D100" s="6"/>
      <c r="E100" s="8"/>
      <c r="F100" s="1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23.25" customHeight="1">
      <c r="A101" s="65" t="s">
        <v>57</v>
      </c>
      <c r="B101" s="5">
        <f t="shared" si="1"/>
        <v>27.836</v>
      </c>
      <c r="C101" s="6">
        <f>C102+C103</f>
        <v>0</v>
      </c>
      <c r="D101" s="6"/>
      <c r="E101" s="6">
        <f>E102+E103</f>
        <v>27.836</v>
      </c>
      <c r="F101" s="7">
        <f>F102+F103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20.25" customHeight="1">
      <c r="A102" s="26" t="s">
        <v>10</v>
      </c>
      <c r="B102" s="5">
        <f t="shared" si="1"/>
        <v>27.836</v>
      </c>
      <c r="C102" s="42"/>
      <c r="D102" s="42"/>
      <c r="E102" s="42">
        <v>27.836</v>
      </c>
      <c r="F102" s="39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23.25" customHeight="1">
      <c r="A103" s="26" t="s">
        <v>7</v>
      </c>
      <c r="B103" s="5">
        <f t="shared" si="1"/>
        <v>0</v>
      </c>
      <c r="C103" s="14">
        <f>C104+C105+C106</f>
        <v>0</v>
      </c>
      <c r="D103" s="14">
        <f>D104+D105+D106</f>
        <v>0</v>
      </c>
      <c r="E103" s="14">
        <f>E104+E105+E106</f>
        <v>0</v>
      </c>
      <c r="F103" s="15">
        <f>F104+F105+F106</f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44.25" customHeight="1">
      <c r="A104" s="26" t="s">
        <v>8</v>
      </c>
      <c r="B104" s="5">
        <f t="shared" si="1"/>
        <v>0</v>
      </c>
      <c r="C104" s="9"/>
      <c r="D104" s="6"/>
      <c r="E104" s="8"/>
      <c r="F104" s="1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23.25" customHeight="1">
      <c r="A105" s="26" t="s">
        <v>39</v>
      </c>
      <c r="B105" s="5">
        <f>C105+D105+E105+F105</f>
        <v>0</v>
      </c>
      <c r="C105" s="9"/>
      <c r="D105" s="9"/>
      <c r="E105" s="9"/>
      <c r="F105" s="10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23.25" customHeight="1">
      <c r="A106" s="26" t="s">
        <v>9</v>
      </c>
      <c r="B106" s="5">
        <f t="shared" si="1"/>
        <v>0</v>
      </c>
      <c r="C106" s="9"/>
      <c r="D106" s="6"/>
      <c r="E106" s="8"/>
      <c r="F106" s="1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23.25" customHeight="1">
      <c r="A107" s="65" t="s">
        <v>14</v>
      </c>
      <c r="B107" s="5">
        <f t="shared" si="1"/>
        <v>112.19399999999999</v>
      </c>
      <c r="C107" s="9"/>
      <c r="D107" s="6"/>
      <c r="E107" s="6">
        <f>E108+E109</f>
        <v>0</v>
      </c>
      <c r="F107" s="7">
        <f>F108+F109</f>
        <v>112.19399999999999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20.25" customHeight="1">
      <c r="A108" s="26" t="s">
        <v>10</v>
      </c>
      <c r="B108" s="5">
        <f t="shared" si="1"/>
        <v>17.522</v>
      </c>
      <c r="C108" s="9"/>
      <c r="D108" s="6"/>
      <c r="E108" s="6"/>
      <c r="F108" s="121">
        <v>17.522</v>
      </c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23.25" customHeight="1">
      <c r="A109" s="26" t="s">
        <v>7</v>
      </c>
      <c r="B109" s="5">
        <f>C109+D109+E109+F109</f>
        <v>94.672</v>
      </c>
      <c r="C109" s="14">
        <f>C110+C111+C112</f>
        <v>0</v>
      </c>
      <c r="D109" s="14">
        <f>D110+D111+D112</f>
        <v>0</v>
      </c>
      <c r="E109" s="14">
        <f>E110+E111+E112</f>
        <v>0</v>
      </c>
      <c r="F109" s="15">
        <f>F110+F111+F112</f>
        <v>94.672</v>
      </c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47.25" customHeight="1">
      <c r="A110" s="26" t="s">
        <v>8</v>
      </c>
      <c r="B110" s="5">
        <f t="shared" si="1"/>
        <v>94.672</v>
      </c>
      <c r="C110" s="9"/>
      <c r="D110" s="6"/>
      <c r="E110" s="8"/>
      <c r="F110" s="13">
        <v>94.672</v>
      </c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23.25" customHeight="1">
      <c r="A111" s="26" t="s">
        <v>39</v>
      </c>
      <c r="B111" s="5">
        <f t="shared" si="1"/>
        <v>0</v>
      </c>
      <c r="C111" s="9"/>
      <c r="D111" s="9"/>
      <c r="E111" s="9"/>
      <c r="F111" s="10"/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23.25" customHeight="1">
      <c r="A112" s="26" t="s">
        <v>9</v>
      </c>
      <c r="B112" s="5">
        <f t="shared" si="1"/>
        <v>0</v>
      </c>
      <c r="C112" s="9"/>
      <c r="D112" s="6"/>
      <c r="E112" s="8"/>
      <c r="F112" s="13"/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23.25" customHeight="1">
      <c r="A113" s="65" t="s">
        <v>18</v>
      </c>
      <c r="B113" s="5">
        <f t="shared" si="1"/>
        <v>218.76399999999998</v>
      </c>
      <c r="C113" s="9"/>
      <c r="D113" s="6"/>
      <c r="E113" s="6">
        <f>E114+E115</f>
        <v>13.452</v>
      </c>
      <c r="F113" s="7">
        <f>F114+F115</f>
        <v>205.31199999999998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20.25" customHeight="1">
      <c r="A114" s="26" t="s">
        <v>10</v>
      </c>
      <c r="B114" s="5">
        <f t="shared" si="1"/>
        <v>62.975</v>
      </c>
      <c r="C114" s="9"/>
      <c r="D114" s="6"/>
      <c r="E114" s="14">
        <v>13.452</v>
      </c>
      <c r="F114" s="15">
        <v>49.523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23.25" customHeight="1">
      <c r="A115" s="26" t="s">
        <v>7</v>
      </c>
      <c r="B115" s="5">
        <f>C115+D115+E115+F115</f>
        <v>155.789</v>
      </c>
      <c r="C115" s="14">
        <f>C116+C117+C118</f>
        <v>0</v>
      </c>
      <c r="D115" s="14">
        <f>D116+D117+D118</f>
        <v>0</v>
      </c>
      <c r="E115" s="14">
        <f>E116+E117+E118</f>
        <v>0</v>
      </c>
      <c r="F115" s="15">
        <f>F116+F117+F118</f>
        <v>155.789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23.25" customHeight="1">
      <c r="A116" s="26" t="s">
        <v>8</v>
      </c>
      <c r="B116" s="5">
        <f aca="true" t="shared" si="2" ref="B116:B177">C116+D116+E116+F116</f>
        <v>0</v>
      </c>
      <c r="C116" s="9"/>
      <c r="D116" s="6"/>
      <c r="E116" s="6"/>
      <c r="F116" s="7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23.25" customHeight="1">
      <c r="A117" s="26" t="s">
        <v>39</v>
      </c>
      <c r="B117" s="5">
        <f t="shared" si="2"/>
        <v>0</v>
      </c>
      <c r="C117" s="9"/>
      <c r="D117" s="9"/>
      <c r="E117" s="9"/>
      <c r="F117" s="10"/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23.25" customHeight="1">
      <c r="A118" s="26" t="s">
        <v>9</v>
      </c>
      <c r="B118" s="5">
        <f t="shared" si="2"/>
        <v>155.789</v>
      </c>
      <c r="C118" s="9"/>
      <c r="D118" s="6"/>
      <c r="E118" s="6"/>
      <c r="F118" s="7">
        <v>155.789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23.25" customHeight="1">
      <c r="A119" s="65" t="s">
        <v>13</v>
      </c>
      <c r="B119" s="5">
        <f t="shared" si="2"/>
        <v>428.496</v>
      </c>
      <c r="C119" s="6">
        <f>C120+C121</f>
        <v>0</v>
      </c>
      <c r="D119" s="6"/>
      <c r="E119" s="6">
        <f>E120+E121</f>
        <v>428.496</v>
      </c>
      <c r="F119" s="7">
        <f>F120+F121</f>
        <v>0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20.25" customHeight="1">
      <c r="A120" s="26" t="s">
        <v>10</v>
      </c>
      <c r="B120" s="5">
        <f t="shared" si="2"/>
        <v>428.496</v>
      </c>
      <c r="C120" s="42"/>
      <c r="D120" s="42"/>
      <c r="E120" s="42">
        <v>428.496</v>
      </c>
      <c r="F120" s="39"/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23.25" customHeight="1">
      <c r="A121" s="26" t="s">
        <v>7</v>
      </c>
      <c r="B121" s="5">
        <f t="shared" si="2"/>
        <v>0</v>
      </c>
      <c r="C121" s="14">
        <f>C122+C123+C124</f>
        <v>0</v>
      </c>
      <c r="D121" s="14">
        <f>D122+D123+D124</f>
        <v>0</v>
      </c>
      <c r="E121" s="14">
        <f>E122+E123+E124</f>
        <v>0</v>
      </c>
      <c r="F121" s="15">
        <f>F122+F123+F124</f>
        <v>0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25.5" customHeight="1">
      <c r="A122" s="26" t="s">
        <v>8</v>
      </c>
      <c r="B122" s="5">
        <f t="shared" si="2"/>
        <v>0</v>
      </c>
      <c r="C122" s="9"/>
      <c r="D122" s="6"/>
      <c r="E122" s="8"/>
      <c r="F122" s="13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23.25" customHeight="1">
      <c r="A123" s="26" t="s">
        <v>39</v>
      </c>
      <c r="B123" s="5">
        <f>C123+D123+E123+F123</f>
        <v>0</v>
      </c>
      <c r="C123" s="9"/>
      <c r="D123" s="9"/>
      <c r="E123" s="9"/>
      <c r="F123" s="10"/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23.25" customHeight="1">
      <c r="A124" s="26" t="s">
        <v>9</v>
      </c>
      <c r="B124" s="5">
        <f t="shared" si="2"/>
        <v>0</v>
      </c>
      <c r="C124" s="9"/>
      <c r="D124" s="6"/>
      <c r="E124" s="8"/>
      <c r="F124" s="13"/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23.25" customHeight="1">
      <c r="A125" s="65" t="s">
        <v>62</v>
      </c>
      <c r="B125" s="5">
        <f t="shared" si="2"/>
        <v>11.8068</v>
      </c>
      <c r="C125" s="9"/>
      <c r="D125" s="6"/>
      <c r="E125" s="6">
        <f>E126+E127</f>
        <v>0</v>
      </c>
      <c r="F125" s="7">
        <f>F126+F127</f>
        <v>11.8068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20.25" customHeight="1">
      <c r="A126" s="26" t="s">
        <v>10</v>
      </c>
      <c r="B126" s="5">
        <f t="shared" si="2"/>
        <v>11.8068</v>
      </c>
      <c r="C126" s="9"/>
      <c r="D126" s="6"/>
      <c r="E126" s="6"/>
      <c r="F126" s="121">
        <v>11.8068</v>
      </c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23.25" customHeight="1">
      <c r="A127" s="26" t="s">
        <v>7</v>
      </c>
      <c r="B127" s="5">
        <f t="shared" si="2"/>
        <v>0</v>
      </c>
      <c r="C127" s="14">
        <f>C128+C129+C130</f>
        <v>0</v>
      </c>
      <c r="D127" s="14">
        <f>D128+D129+D130</f>
        <v>0</v>
      </c>
      <c r="E127" s="14">
        <f>E128+E129+E130</f>
        <v>0</v>
      </c>
      <c r="F127" s="15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26.25" customHeight="1">
      <c r="A128" s="26" t="s">
        <v>8</v>
      </c>
      <c r="B128" s="5">
        <f t="shared" si="2"/>
        <v>0</v>
      </c>
      <c r="C128" s="9"/>
      <c r="D128" s="6"/>
      <c r="E128" s="8"/>
      <c r="F128" s="1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23.25" customHeight="1">
      <c r="A129" s="26" t="s">
        <v>39</v>
      </c>
      <c r="B129" s="5">
        <f t="shared" si="2"/>
        <v>0</v>
      </c>
      <c r="C129" s="9"/>
      <c r="D129" s="9"/>
      <c r="E129" s="9"/>
      <c r="F129" s="10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23.25" customHeight="1">
      <c r="A130" s="26" t="s">
        <v>9</v>
      </c>
      <c r="B130" s="5">
        <f t="shared" si="2"/>
        <v>0</v>
      </c>
      <c r="C130" s="9"/>
      <c r="D130" s="6"/>
      <c r="E130" s="8"/>
      <c r="F130" s="1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23.25" customHeight="1">
      <c r="A131" s="65"/>
      <c r="B131" s="6">
        <f t="shared" si="2"/>
        <v>0</v>
      </c>
      <c r="C131" s="9"/>
      <c r="D131" s="6"/>
      <c r="E131" s="6">
        <f>E132+E133</f>
        <v>0</v>
      </c>
      <c r="F131" s="7">
        <f>F132+F133</f>
        <v>0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20.25" customHeight="1">
      <c r="A132" s="26" t="s">
        <v>10</v>
      </c>
      <c r="B132" s="5">
        <f t="shared" si="2"/>
        <v>0</v>
      </c>
      <c r="C132" s="9"/>
      <c r="D132" s="6"/>
      <c r="E132" s="6"/>
      <c r="F132" s="121"/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23.25" customHeight="1">
      <c r="A133" s="26" t="s">
        <v>7</v>
      </c>
      <c r="B133" s="5">
        <f t="shared" si="2"/>
        <v>0</v>
      </c>
      <c r="C133" s="14">
        <f>C134+C135+C136</f>
        <v>0</v>
      </c>
      <c r="D133" s="14">
        <f>D134+D135+D136</f>
        <v>0</v>
      </c>
      <c r="E133" s="14">
        <f>E134+E135+E136</f>
        <v>0</v>
      </c>
      <c r="F133" s="15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22.5" customHeight="1">
      <c r="A134" s="26" t="s">
        <v>8</v>
      </c>
      <c r="B134" s="5">
        <f t="shared" si="2"/>
        <v>0</v>
      </c>
      <c r="C134" s="9"/>
      <c r="D134" s="6"/>
      <c r="E134" s="6"/>
      <c r="F134" s="7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23.25" customHeight="1">
      <c r="A135" s="26" t="s">
        <v>39</v>
      </c>
      <c r="B135" s="5">
        <f>C135+D135+E135+F135</f>
        <v>0</v>
      </c>
      <c r="C135" s="9"/>
      <c r="D135" s="9"/>
      <c r="E135" s="9"/>
      <c r="F135" s="10"/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23.25" customHeight="1">
      <c r="A136" s="26" t="s">
        <v>9</v>
      </c>
      <c r="B136" s="5">
        <f t="shared" si="2"/>
        <v>0</v>
      </c>
      <c r="C136" s="9"/>
      <c r="D136" s="6"/>
      <c r="E136" s="6"/>
      <c r="F136" s="7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23.25" customHeight="1">
      <c r="A137" s="65" t="s">
        <v>56</v>
      </c>
      <c r="B137" s="5">
        <f t="shared" si="2"/>
        <v>163.10399999999998</v>
      </c>
      <c r="C137" s="9"/>
      <c r="D137" s="6"/>
      <c r="E137" s="6">
        <f>E138+E139</f>
        <v>163.10399999999998</v>
      </c>
      <c r="F137" s="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20.25" customHeight="1">
      <c r="A138" s="26" t="s">
        <v>10</v>
      </c>
      <c r="B138" s="5">
        <f t="shared" si="2"/>
        <v>94.884</v>
      </c>
      <c r="C138" s="9"/>
      <c r="D138" s="6"/>
      <c r="E138" s="6">
        <v>94.884</v>
      </c>
      <c r="F138" s="121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23.25" customHeight="1">
      <c r="A139" s="26" t="s">
        <v>7</v>
      </c>
      <c r="B139" s="5">
        <f t="shared" si="2"/>
        <v>68.22</v>
      </c>
      <c r="C139" s="14">
        <f>C140+C141+C142</f>
        <v>0</v>
      </c>
      <c r="D139" s="14">
        <f>D140+D141+D142</f>
        <v>0</v>
      </c>
      <c r="E139" s="14">
        <f>E140+E141+E142</f>
        <v>68.22</v>
      </c>
      <c r="F139" s="15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24.75" customHeight="1">
      <c r="A140" s="26" t="s">
        <v>8</v>
      </c>
      <c r="B140" s="5">
        <f t="shared" si="2"/>
        <v>68.22</v>
      </c>
      <c r="C140" s="9"/>
      <c r="D140" s="6"/>
      <c r="E140" s="6">
        <v>68.22</v>
      </c>
      <c r="F140" s="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24.75" customHeight="1">
      <c r="A141" s="26" t="s">
        <v>39</v>
      </c>
      <c r="B141" s="5">
        <f t="shared" si="2"/>
        <v>0</v>
      </c>
      <c r="C141" s="9"/>
      <c r="D141" s="9"/>
      <c r="E141" s="9"/>
      <c r="F141" s="10"/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24.75" customHeight="1">
      <c r="A142" s="26" t="s">
        <v>9</v>
      </c>
      <c r="B142" s="5">
        <f t="shared" si="2"/>
        <v>0</v>
      </c>
      <c r="C142" s="9"/>
      <c r="D142" s="6"/>
      <c r="E142" s="6"/>
      <c r="F142" s="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24.75" customHeight="1">
      <c r="A143" s="65" t="s">
        <v>6</v>
      </c>
      <c r="B143" s="6">
        <f>C143+D143+E143+F143</f>
        <v>1601.829</v>
      </c>
      <c r="C143" s="14"/>
      <c r="D143" s="6"/>
      <c r="E143" s="14">
        <f>E144+E145</f>
        <v>672.111</v>
      </c>
      <c r="F143" s="15">
        <f>F144+F145</f>
        <v>929.718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20.25" customHeight="1">
      <c r="A144" s="26" t="s">
        <v>10</v>
      </c>
      <c r="B144" s="6">
        <f aca="true" t="shared" si="3" ref="B144:B152">C144+D144+E144+F144</f>
        <v>708.068</v>
      </c>
      <c r="C144" s="6"/>
      <c r="D144" s="6"/>
      <c r="E144" s="14">
        <v>492.933</v>
      </c>
      <c r="F144" s="15">
        <v>215.135</v>
      </c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24.75" customHeight="1">
      <c r="A145" s="26" t="s">
        <v>7</v>
      </c>
      <c r="B145" s="6">
        <f>C145+D145+E145+F145</f>
        <v>893.761</v>
      </c>
      <c r="C145" s="14">
        <f>C146+C147+C148</f>
        <v>0</v>
      </c>
      <c r="D145" s="14">
        <f>D146+D147+D148</f>
        <v>0</v>
      </c>
      <c r="E145" s="15">
        <f>E146+E147+E148</f>
        <v>179.17799999999997</v>
      </c>
      <c r="F145" s="15">
        <f>F146+F147+F148</f>
        <v>714.583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24.75" customHeight="1">
      <c r="A146" s="26" t="s">
        <v>8</v>
      </c>
      <c r="B146" s="6">
        <f t="shared" si="3"/>
        <v>698.24</v>
      </c>
      <c r="C146" s="6"/>
      <c r="D146" s="6"/>
      <c r="E146" s="9">
        <v>167.32</v>
      </c>
      <c r="F146" s="10">
        <v>530.92</v>
      </c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24.75" customHeight="1">
      <c r="A147" s="26" t="s">
        <v>39</v>
      </c>
      <c r="B147" s="6">
        <f t="shared" si="3"/>
        <v>85.94000000000001</v>
      </c>
      <c r="C147" s="9"/>
      <c r="D147" s="9"/>
      <c r="E147" s="9">
        <v>9.92</v>
      </c>
      <c r="F147" s="10">
        <f>56.02+20</f>
        <v>76.02000000000001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6.75" customHeight="1">
      <c r="A148" s="26" t="s">
        <v>9</v>
      </c>
      <c r="B148" s="6">
        <f t="shared" si="3"/>
        <v>109.581</v>
      </c>
      <c r="C148" s="6"/>
      <c r="D148" s="6"/>
      <c r="E148" s="9">
        <v>1.938</v>
      </c>
      <c r="F148" s="10">
        <v>107.643</v>
      </c>
      <c r="G148" s="120"/>
      <c r="H148" s="120"/>
    </row>
    <row r="149" spans="1:8" s="30" customFormat="1" ht="23.25" customHeight="1">
      <c r="A149" s="65" t="s">
        <v>5</v>
      </c>
      <c r="B149" s="6">
        <f>C149+D149+E149+F149</f>
        <v>3466.8419999999996</v>
      </c>
      <c r="C149" s="14">
        <f>C150+C151+C153</f>
        <v>361.424</v>
      </c>
      <c r="D149" s="6"/>
      <c r="E149" s="14">
        <f>E150+E153</f>
        <v>2262.881</v>
      </c>
      <c r="F149" s="15">
        <f>F150+F153</f>
        <v>842.537</v>
      </c>
      <c r="G149" s="120"/>
      <c r="H149" s="120"/>
    </row>
    <row r="150" spans="1:18" s="3" customFormat="1" ht="24.75" customHeight="1">
      <c r="A150" s="26" t="s">
        <v>10</v>
      </c>
      <c r="B150" s="6">
        <f t="shared" si="3"/>
        <v>2060.561</v>
      </c>
      <c r="C150" s="14"/>
      <c r="D150" s="6"/>
      <c r="E150" s="14">
        <v>1854.097</v>
      </c>
      <c r="F150" s="15">
        <v>206.464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24.75" customHeight="1">
      <c r="A151" s="32" t="s">
        <v>50</v>
      </c>
      <c r="B151" s="6">
        <f t="shared" si="3"/>
        <v>361.424</v>
      </c>
      <c r="C151" s="94">
        <v>361.424</v>
      </c>
      <c r="D151" s="6"/>
      <c r="E151" s="6"/>
      <c r="F151" s="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20.25" customHeight="1">
      <c r="A152" s="32" t="s">
        <v>26</v>
      </c>
      <c r="B152" s="72">
        <f t="shared" si="3"/>
        <v>0.529</v>
      </c>
      <c r="C152" s="94">
        <v>0.529</v>
      </c>
      <c r="D152" s="84"/>
      <c r="E152" s="84"/>
      <c r="F152" s="39"/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24.75" customHeight="1">
      <c r="A153" s="26" t="s">
        <v>7</v>
      </c>
      <c r="B153" s="6">
        <f>C153+D153+E153+F153</f>
        <v>1044.857</v>
      </c>
      <c r="C153" s="14">
        <f>C154+C155+C156</f>
        <v>0</v>
      </c>
      <c r="D153" s="14">
        <f>D154+D155+D156</f>
        <v>0</v>
      </c>
      <c r="E153" s="15">
        <f>E154+E155+E156</f>
        <v>408.784</v>
      </c>
      <c r="F153" s="15">
        <f>F154+F155+F156</f>
        <v>636.073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24" customHeight="1">
      <c r="A154" s="26" t="s">
        <v>8</v>
      </c>
      <c r="B154" s="5">
        <f t="shared" si="2"/>
        <v>811.457</v>
      </c>
      <c r="C154" s="9"/>
      <c r="D154" s="9"/>
      <c r="E154" s="9">
        <f>434.206-150</f>
        <v>284.206</v>
      </c>
      <c r="F154" s="10">
        <v>527.251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26.25" customHeight="1">
      <c r="A155" s="26" t="s">
        <v>39</v>
      </c>
      <c r="B155" s="5">
        <f t="shared" si="2"/>
        <v>220.94299999999998</v>
      </c>
      <c r="C155" s="9"/>
      <c r="D155" s="9"/>
      <c r="E155" s="9">
        <v>112.121</v>
      </c>
      <c r="F155" s="10">
        <f>88.822+20</f>
        <v>108.822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24.75" customHeight="1">
      <c r="A156" s="26" t="s">
        <v>9</v>
      </c>
      <c r="B156" s="5">
        <f t="shared" si="2"/>
        <v>12.457</v>
      </c>
      <c r="C156" s="9"/>
      <c r="D156" s="9"/>
      <c r="E156" s="9">
        <v>12.457</v>
      </c>
      <c r="F156" s="10">
        <v>0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26.25" customHeight="1">
      <c r="A157" s="65" t="s">
        <v>17</v>
      </c>
      <c r="B157" s="5">
        <f t="shared" si="2"/>
        <v>6540.403999999999</v>
      </c>
      <c r="C157" s="14"/>
      <c r="D157" s="6"/>
      <c r="E157" s="14">
        <f>E158+E159</f>
        <v>1582.6309999999999</v>
      </c>
      <c r="F157" s="15">
        <f>F158+F159</f>
        <v>4957.772999999999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20.25" customHeight="1">
      <c r="A158" s="26" t="s">
        <v>10</v>
      </c>
      <c r="B158" s="5">
        <f t="shared" si="2"/>
        <v>2996.89</v>
      </c>
      <c r="C158" s="6"/>
      <c r="D158" s="6"/>
      <c r="E158" s="14">
        <v>1535.995</v>
      </c>
      <c r="F158" s="15">
        <v>1460.895</v>
      </c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26.25" customHeight="1">
      <c r="A159" s="26" t="s">
        <v>7</v>
      </c>
      <c r="B159" s="5">
        <f t="shared" si="2"/>
        <v>3543.5139999999997</v>
      </c>
      <c r="C159" s="14">
        <f>C160+C161+C162</f>
        <v>0</v>
      </c>
      <c r="D159" s="14">
        <f>D160+D161+D162</f>
        <v>0</v>
      </c>
      <c r="E159" s="14">
        <f>E160+E161+E162</f>
        <v>46.635999999999996</v>
      </c>
      <c r="F159" s="15">
        <f>F160+F161+F162</f>
        <v>3496.8779999999997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24.75" customHeight="1">
      <c r="A160" s="26" t="s">
        <v>8</v>
      </c>
      <c r="B160" s="5">
        <f t="shared" si="2"/>
        <v>381.127</v>
      </c>
      <c r="C160" s="8"/>
      <c r="D160" s="6"/>
      <c r="E160" s="9">
        <v>18.016</v>
      </c>
      <c r="F160" s="10">
        <v>363.111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24.75" customHeight="1">
      <c r="A161" s="26" t="s">
        <v>39</v>
      </c>
      <c r="B161" s="5">
        <f t="shared" si="2"/>
        <v>0</v>
      </c>
      <c r="C161" s="9"/>
      <c r="D161" s="9"/>
      <c r="E161" s="9"/>
      <c r="F161" s="10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24.75" customHeight="1" thickBot="1">
      <c r="A162" s="25" t="s">
        <v>9</v>
      </c>
      <c r="B162" s="31">
        <f t="shared" si="2"/>
        <v>3162.3869999999997</v>
      </c>
      <c r="C162" s="17"/>
      <c r="D162" s="16"/>
      <c r="E162" s="19">
        <v>28.62</v>
      </c>
      <c r="F162" s="28">
        <v>3133.767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 thickBot="1">
      <c r="A163" s="109" t="s">
        <v>10</v>
      </c>
      <c r="B163" s="76">
        <f t="shared" si="2"/>
        <v>89847.73700000001</v>
      </c>
      <c r="C163" s="99">
        <f>C164+C165+C169</f>
        <v>40961.715</v>
      </c>
      <c r="D163" s="99">
        <f>D164+D165+D169</f>
        <v>2378.995</v>
      </c>
      <c r="E163" s="99">
        <f>E164+E165+E169</f>
        <v>30245.845200000003</v>
      </c>
      <c r="F163" s="77">
        <f>F164+F165+F169</f>
        <v>16261.1818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33" t="s">
        <v>40</v>
      </c>
      <c r="B164" s="43">
        <f t="shared" si="2"/>
        <v>68762.247</v>
      </c>
      <c r="C164" s="67">
        <f>C9+C24+C30+C36+C42+C50+C56+C62+C68+C74+C86+C94+C102+C108+C114+C120+C126+C132+C138+C144+C150+C158</f>
        <v>26177.085999999996</v>
      </c>
      <c r="D164" s="67">
        <f>D9+D24+D30+D36+D42+D50+D56+D62+D68+D74+D86+D94+D102+D108+D114+D120+D126+D132+D138+D144+D150+D158</f>
        <v>1762.173</v>
      </c>
      <c r="E164" s="67">
        <f>E9+E24+E30+E36+E42+E50+E56+E62+E68+E74+E86+E94+E102+E108+E114+E120+E126+E132+E138+E144+E150+E158</f>
        <v>24685.8002</v>
      </c>
      <c r="F164" s="68">
        <f>F9+F24+F30+F36+F42+F50+F56+F62+F68+F74+F86+F94+F102+F108+F114+F120+F126+F132+F138+F144+F150+F158</f>
        <v>16137.1878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33" t="s">
        <v>42</v>
      </c>
      <c r="B165" s="5">
        <f t="shared" si="2"/>
        <v>19983.417999999998</v>
      </c>
      <c r="C165" s="14">
        <f aca="true" t="shared" si="4" ref="C165:F166">C10+C43+C75+C95+C87+C151</f>
        <v>13682.556999999997</v>
      </c>
      <c r="D165" s="14">
        <f t="shared" si="4"/>
        <v>616.822</v>
      </c>
      <c r="E165" s="14">
        <f t="shared" si="4"/>
        <v>5560.045</v>
      </c>
      <c r="F165" s="15">
        <f t="shared" si="4"/>
        <v>123.994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33" t="s">
        <v>41</v>
      </c>
      <c r="B166" s="5">
        <f t="shared" si="2"/>
        <v>28.658</v>
      </c>
      <c r="C166" s="14">
        <f t="shared" si="4"/>
        <v>17.161</v>
      </c>
      <c r="D166" s="14">
        <f t="shared" si="4"/>
        <v>1.54</v>
      </c>
      <c r="E166" s="14">
        <f t="shared" si="4"/>
        <v>9.773</v>
      </c>
      <c r="F166" s="15">
        <f t="shared" si="4"/>
        <v>0.184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08" t="s">
        <v>45</v>
      </c>
      <c r="B167" s="5">
        <f t="shared" si="2"/>
        <v>4284.484</v>
      </c>
      <c r="C167" s="14">
        <f>C16</f>
        <v>4284.484</v>
      </c>
      <c r="D167" s="14">
        <f>D16</f>
        <v>0</v>
      </c>
      <c r="E167" s="14">
        <f>E16</f>
        <v>0</v>
      </c>
      <c r="F167" s="15">
        <f>F16</f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>
      <c r="A168" s="33" t="s">
        <v>46</v>
      </c>
      <c r="B168" s="5">
        <f t="shared" si="2"/>
        <v>7.9</v>
      </c>
      <c r="C168" s="14">
        <f>C18</f>
        <v>7.9</v>
      </c>
      <c r="D168" s="14">
        <f>D18</f>
        <v>0</v>
      </c>
      <c r="E168" s="14">
        <f>E18</f>
        <v>0</v>
      </c>
      <c r="F168" s="15">
        <f>F18</f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>
      <c r="A169" s="100" t="s">
        <v>22</v>
      </c>
      <c r="B169" s="5">
        <f t="shared" si="2"/>
        <v>1102.072</v>
      </c>
      <c r="C169" s="14">
        <f>C7</f>
        <v>1102.072</v>
      </c>
      <c r="D169" s="14"/>
      <c r="E169" s="14"/>
      <c r="F169" s="15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 thickBot="1">
      <c r="A170" s="101" t="s">
        <v>23</v>
      </c>
      <c r="B170" s="31">
        <f t="shared" si="2"/>
        <v>2.508</v>
      </c>
      <c r="C170" s="122">
        <f>C8</f>
        <v>2.508</v>
      </c>
      <c r="D170" s="122"/>
      <c r="E170" s="122"/>
      <c r="F170" s="123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 thickBot="1">
      <c r="A171" s="98" t="s">
        <v>11</v>
      </c>
      <c r="B171" s="78">
        <f t="shared" si="2"/>
        <v>29580</v>
      </c>
      <c r="C171" s="124">
        <f>C172+C173+C174</f>
        <v>131.51</v>
      </c>
      <c r="D171" s="124">
        <f>D172+D173+D174</f>
        <v>1.6</v>
      </c>
      <c r="E171" s="124">
        <f>E172+E173+E174</f>
        <v>1514.659</v>
      </c>
      <c r="F171" s="125">
        <f>F172+F173+F174</f>
        <v>27932.231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106" t="s">
        <v>8</v>
      </c>
      <c r="B172" s="107">
        <f t="shared" si="2"/>
        <v>11667.084</v>
      </c>
      <c r="C172" s="126">
        <f>C13+C26+C32+C38+C46+C52+C58+C64+C70+C82+C90+C98+C104+C110+C116+C122+C128+C134+C140+C146+C154+C160</f>
        <v>0.21799999999999997</v>
      </c>
      <c r="D172" s="126">
        <f>D13+D26+D32+D38+D46+D52+D58+D64+D70+D82+D90+D98+D104+D110+D116+D122+D128+D134+D140+D146+D154+D160</f>
        <v>0</v>
      </c>
      <c r="E172" s="126">
        <f>E13+E26+E32+E38+E46+E52+E58+E64+E70+E82+E90+E98+E104+E110+E116+E122+E128+E134+E140+E146+E154+E160</f>
        <v>851.527</v>
      </c>
      <c r="F172" s="127">
        <f>F13+F26+F32+F38+F46+F52+F58+F64+F70+F82+F90+F98+F104+F110+F116+F122+F128+F134+F140+F146+F154+F160</f>
        <v>10815.339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08" t="s">
        <v>39</v>
      </c>
      <c r="B173" s="5">
        <f t="shared" si="2"/>
        <v>425.711</v>
      </c>
      <c r="C173" s="14">
        <f>C14+C47+C147+C155</f>
        <v>0</v>
      </c>
      <c r="D173" s="14">
        <f>D14+D47+D147+D155</f>
        <v>0</v>
      </c>
      <c r="E173" s="14">
        <f>E14+E47+E147+E155</f>
        <v>122.041</v>
      </c>
      <c r="F173" s="15">
        <f>F14+F47+F147+F155</f>
        <v>303.67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 thickBot="1">
      <c r="A174" s="109" t="s">
        <v>9</v>
      </c>
      <c r="B174" s="31">
        <f t="shared" si="2"/>
        <v>17487.205</v>
      </c>
      <c r="C174" s="122">
        <f>C15+C28+C34+C40++C48+C54+C60+C66+C72+C84+C92+C100+C106+C112+C118+C124+C130+C136+C142+C148+C156+C162</f>
        <v>131.292</v>
      </c>
      <c r="D174" s="122">
        <f>D15+D28+D34+D40++D48+D54+D60+D66+D72+D84+D92+D100+D106+D112+D118+D124+D130+D136+D142+D148+D156+D162</f>
        <v>1.6</v>
      </c>
      <c r="E174" s="122">
        <f>E15+E28+E34+E40++E48+E54+E60+E66+E72+E84+E92+E100+E106+E112+E118+E124+E130+E136+E142+E148+E156+E162</f>
        <v>541.091</v>
      </c>
      <c r="F174" s="123">
        <f>F15+F28+F34+F40++F48+F54+F60+F66+F72+F84+F92+F100+F106+F112+F118+F124+F130+F136+F142+F148+F156+F162</f>
        <v>16813.222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4" thickBot="1">
      <c r="A175" s="110" t="s">
        <v>28</v>
      </c>
      <c r="B175" s="50">
        <f t="shared" si="2"/>
        <v>39.066</v>
      </c>
      <c r="C175" s="129">
        <f>C176+C177</f>
        <v>27.569000000000003</v>
      </c>
      <c r="D175" s="129">
        <f>D176+D177</f>
        <v>1.54</v>
      </c>
      <c r="E175" s="129">
        <f>E176+E177</f>
        <v>9.773</v>
      </c>
      <c r="F175" s="130">
        <f>F176+F177</f>
        <v>0.184</v>
      </c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>
      <c r="A176" s="113" t="s">
        <v>29</v>
      </c>
      <c r="B176" s="43">
        <f t="shared" si="2"/>
        <v>36.558</v>
      </c>
      <c r="C176" s="67">
        <f>C11+C18+C44+C76+C88+C96+C152</f>
        <v>25.061000000000003</v>
      </c>
      <c r="D176" s="67">
        <f>D11+D44+D76+D96</f>
        <v>1.54</v>
      </c>
      <c r="E176" s="67">
        <f>E11+E44+E76+E96</f>
        <v>9.773</v>
      </c>
      <c r="F176" s="68">
        <f>F11+F44+F76+F96</f>
        <v>0.184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114" t="s">
        <v>37</v>
      </c>
      <c r="B177" s="31">
        <f t="shared" si="2"/>
        <v>2.508</v>
      </c>
      <c r="C177" s="122">
        <f>C8</f>
        <v>2.508</v>
      </c>
      <c r="D177" s="122">
        <f>D8</f>
        <v>0</v>
      </c>
      <c r="E177" s="122">
        <f>E8</f>
        <v>0</v>
      </c>
      <c r="F177" s="123">
        <f>F8</f>
        <v>0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 thickBot="1">
      <c r="A178" s="183"/>
      <c r="B178" s="73"/>
      <c r="C178" s="73"/>
      <c r="D178" s="73"/>
      <c r="E178" s="73"/>
      <c r="F178" s="73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4" thickBot="1">
      <c r="A179" s="49" t="s">
        <v>51</v>
      </c>
      <c r="B179" s="50">
        <f>C179+D179+E179+F179</f>
        <v>78134.01199999999</v>
      </c>
      <c r="C179" s="51">
        <f>C5</f>
        <v>24705.120999999996</v>
      </c>
      <c r="D179" s="51">
        <f>D5</f>
        <v>2380.595</v>
      </c>
      <c r="E179" s="51">
        <f>E5</f>
        <v>21176.500000000004</v>
      </c>
      <c r="F179" s="51">
        <f>F5</f>
        <v>29871.795999999995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49" t="s">
        <v>53</v>
      </c>
      <c r="B180" s="50">
        <f>C180+D180+E180+F180</f>
        <v>4284.484</v>
      </c>
      <c r="C180" s="77">
        <f>C16</f>
        <v>4284.484</v>
      </c>
      <c r="D180" s="77">
        <f>D16</f>
        <v>0</v>
      </c>
      <c r="E180" s="77">
        <f>E16</f>
        <v>0</v>
      </c>
      <c r="F180" s="77">
        <f>F16</f>
        <v>0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49" t="s">
        <v>52</v>
      </c>
      <c r="B181" s="50">
        <f>C181+D181+E181+F181</f>
        <v>41293.725000000006</v>
      </c>
      <c r="C181" s="77">
        <f>C23+C29+C35+C41+C49+C55+C61+C67+C73+C85+C93+C101+C107+C113+C119+C125+C131+C137+C143+C149+C157</f>
        <v>16388.104000000003</v>
      </c>
      <c r="D181" s="77">
        <f>D23+D29+D35+D41+D49+D55+D61+D67+D73+D85+D93+D101+D107+D113+D119+D125+D131+D137+D143+D149+D157</f>
        <v>0</v>
      </c>
      <c r="E181" s="77">
        <f>E23+E29+E35+E41+E49+E55+E61+E67+E73+E85+E93+E101+E107+E113+E119+E125+E131+E137+E143+E149+E157</f>
        <v>10584.0042</v>
      </c>
      <c r="F181" s="77">
        <f>F23+F29+F35+F41+F49+F55+F61+F67+F73+F85+F93+F101+F107+F113+F119+F125+F131+F137+F143+F149+F157</f>
        <v>14321.6168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4" thickBot="1">
      <c r="A182" s="183"/>
      <c r="B182" s="115">
        <f>C182+D182+E182+F182</f>
        <v>123712.22099999999</v>
      </c>
      <c r="C182" s="50">
        <f>SUM(C179:C181)</f>
        <v>45377.709</v>
      </c>
      <c r="D182" s="50">
        <f>SUM(D179:D181)</f>
        <v>2380.595</v>
      </c>
      <c r="E182" s="50">
        <f>SUM(E179:E181)</f>
        <v>31760.504200000003</v>
      </c>
      <c r="F182" s="50">
        <f>SUM(F179:F181)</f>
        <v>44193.41279999999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3.25">
      <c r="A183" s="183"/>
      <c r="B183" s="73">
        <f>B182-B185</f>
        <v>0</v>
      </c>
      <c r="C183" s="73">
        <f>C182-C185</f>
        <v>0</v>
      </c>
      <c r="D183" s="73">
        <f>D182-D185</f>
        <v>0</v>
      </c>
      <c r="E183" s="73">
        <f>E182-E185</f>
        <v>0</v>
      </c>
      <c r="F183" s="73">
        <f>F182-F185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183"/>
      <c r="B184" s="73"/>
      <c r="C184" s="73"/>
      <c r="D184" s="73"/>
      <c r="E184" s="73"/>
      <c r="F184" s="73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49" t="s">
        <v>67</v>
      </c>
      <c r="B185" s="50">
        <f>C185+D185+E185+F185</f>
        <v>123712.22099999999</v>
      </c>
      <c r="C185" s="51">
        <f>C5+C16+C23+C29+C35+C41+C49+C55+C61+C67+C73+C85+C93+C101+C107+C113+C119+C125+C131+C137+C143+C149+C157</f>
        <v>45377.70899999999</v>
      </c>
      <c r="D185" s="51">
        <f>D5+D16+D23+D29+D35+D41+D49+D55+D61+D67+D73+D85+D93+D101+D107+D113+D119+D125+D131+D137+D143+D149+D157</f>
        <v>2380.595</v>
      </c>
      <c r="E185" s="51">
        <f>E5+E16+E23+E29+E35+E41+E49+E55+E61+E67+E73+E85+E93+E101+E107+E113+E119+E125+E131+E137+E143+E149+E157</f>
        <v>31760.504200000003</v>
      </c>
      <c r="F185" s="51">
        <f>F5+F16+F23+F29+F35+F41+F49+F55+F61+F67+F73+F85+F93+F101+F107+F113+F119+F125+F131+F137+F143+F149+F157</f>
        <v>44193.41279999999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3.25">
      <c r="A186" s="183"/>
      <c r="B186" s="175"/>
      <c r="C186" s="175"/>
      <c r="D186" s="175"/>
      <c r="E186" s="175"/>
      <c r="F186" s="175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3.25">
      <c r="A187" s="172"/>
      <c r="B187" s="172"/>
      <c r="C187" s="172"/>
      <c r="D187" s="172"/>
      <c r="E187" s="172"/>
      <c r="F187" s="172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3.25">
      <c r="A188" s="172"/>
      <c r="B188" s="172"/>
      <c r="C188" s="172"/>
      <c r="D188" s="172"/>
      <c r="E188" s="172"/>
      <c r="F188" s="172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172"/>
      <c r="B189" s="172"/>
      <c r="C189" s="172"/>
      <c r="D189" s="172"/>
      <c r="E189" s="172"/>
      <c r="F189" s="172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3.25">
      <c r="A190" s="172"/>
      <c r="B190" s="172"/>
      <c r="C190" s="172"/>
      <c r="D190" s="172"/>
      <c r="E190" s="172"/>
      <c r="F190" s="172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3.25">
      <c r="A191" s="172"/>
      <c r="B191" s="172"/>
      <c r="C191" s="172"/>
      <c r="D191" s="172"/>
      <c r="E191" s="172"/>
      <c r="F191" s="172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1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1" sqref="I11"/>
    </sheetView>
  </sheetViews>
  <sheetFormatPr defaultColWidth="9.00390625" defaultRowHeight="12.75"/>
  <cols>
    <col min="1" max="1" width="67.875" style="170" customWidth="1"/>
    <col min="2" max="6" width="25.25390625" style="170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69</v>
      </c>
      <c r="B2" s="278"/>
      <c r="C2" s="278"/>
      <c r="D2" s="278"/>
      <c r="E2" s="278"/>
      <c r="F2" s="278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79" t="s">
        <v>70</v>
      </c>
      <c r="B4" s="80"/>
      <c r="C4" s="81" t="s">
        <v>0</v>
      </c>
      <c r="D4" s="81" t="s">
        <v>1</v>
      </c>
      <c r="E4" s="81" t="s">
        <v>2</v>
      </c>
      <c r="F4" s="8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24.75" customHeight="1">
      <c r="A5" s="83" t="s">
        <v>20</v>
      </c>
      <c r="B5" s="43">
        <v>69206.46900000001</v>
      </c>
      <c r="C5" s="67">
        <v>21557.469000000005</v>
      </c>
      <c r="D5" s="67">
        <v>1680.3029999999999</v>
      </c>
      <c r="E5" s="67">
        <v>18343.301000000003</v>
      </c>
      <c r="F5" s="68">
        <v>27625.396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0.75" customHeight="1">
      <c r="A6" s="65" t="s">
        <v>27</v>
      </c>
      <c r="B6" s="5">
        <v>13.650999999999998</v>
      </c>
      <c r="C6" s="14">
        <v>7.802999999999999</v>
      </c>
      <c r="D6" s="14">
        <v>1.286</v>
      </c>
      <c r="E6" s="14">
        <v>4.392</v>
      </c>
      <c r="F6" s="15">
        <v>0.17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24" customHeight="1">
      <c r="A7" s="65" t="s">
        <v>22</v>
      </c>
      <c r="B7" s="5">
        <v>1101.883</v>
      </c>
      <c r="C7" s="14">
        <v>1101.883</v>
      </c>
      <c r="D7" s="14"/>
      <c r="E7" s="14"/>
      <c r="F7" s="15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24.75" customHeight="1">
      <c r="A8" s="65" t="s">
        <v>23</v>
      </c>
      <c r="B8" s="5">
        <v>2.586</v>
      </c>
      <c r="C8" s="14">
        <v>2.586</v>
      </c>
      <c r="D8" s="14"/>
      <c r="E8" s="14"/>
      <c r="F8" s="15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20.25" customHeight="1">
      <c r="A9" s="32" t="s">
        <v>24</v>
      </c>
      <c r="B9" s="5">
        <v>44113.246999999996</v>
      </c>
      <c r="C9" s="6">
        <v>17547.407</v>
      </c>
      <c r="D9" s="6">
        <v>1230.98</v>
      </c>
      <c r="E9" s="6">
        <v>14528.423000000003</v>
      </c>
      <c r="F9" s="184">
        <v>10806.436999999998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21.75" customHeight="1">
      <c r="A10" s="32" t="s">
        <v>25</v>
      </c>
      <c r="B10" s="176">
        <v>6774.084000000002</v>
      </c>
      <c r="C10" s="85">
        <v>2891.761000000001</v>
      </c>
      <c r="D10" s="84">
        <v>447.783</v>
      </c>
      <c r="E10" s="84">
        <v>3327.712</v>
      </c>
      <c r="F10" s="86">
        <v>106.828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21.75" customHeight="1">
      <c r="A11" s="32" t="s">
        <v>26</v>
      </c>
      <c r="B11" s="176">
        <v>11.065</v>
      </c>
      <c r="C11" s="85">
        <v>5.216999999999999</v>
      </c>
      <c r="D11" s="84">
        <v>1.286</v>
      </c>
      <c r="E11" s="84">
        <v>4.392</v>
      </c>
      <c r="F11" s="86">
        <v>0.17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24.75" customHeight="1">
      <c r="A12" s="26" t="s">
        <v>7</v>
      </c>
      <c r="B12" s="5">
        <v>17217.255</v>
      </c>
      <c r="C12" s="6">
        <v>16.418</v>
      </c>
      <c r="D12" s="14">
        <v>1.54</v>
      </c>
      <c r="E12" s="14">
        <v>487.16599999999994</v>
      </c>
      <c r="F12" s="15">
        <v>16712.131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26" t="s">
        <v>8</v>
      </c>
      <c r="B13" s="5">
        <v>5069.49</v>
      </c>
      <c r="C13" s="9">
        <v>0</v>
      </c>
      <c r="D13" s="9">
        <v>0</v>
      </c>
      <c r="E13" s="9">
        <v>181.939</v>
      </c>
      <c r="F13" s="10">
        <v>4887.551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24.75" customHeight="1">
      <c r="A14" s="26" t="s">
        <v>39</v>
      </c>
      <c r="B14" s="5">
        <v>0</v>
      </c>
      <c r="C14" s="9">
        <v>0</v>
      </c>
      <c r="D14" s="9">
        <v>0</v>
      </c>
      <c r="E14" s="9">
        <v>0</v>
      </c>
      <c r="F14" s="10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26.25" customHeight="1">
      <c r="A15" s="26" t="s">
        <v>9</v>
      </c>
      <c r="B15" s="5">
        <v>12147.765000000001</v>
      </c>
      <c r="C15" s="9">
        <v>16.418</v>
      </c>
      <c r="D15" s="9">
        <v>1.54</v>
      </c>
      <c r="E15" s="9">
        <v>305.227</v>
      </c>
      <c r="F15" s="10">
        <v>11824.58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65" t="s">
        <v>43</v>
      </c>
      <c r="B16" s="5">
        <v>3861.482</v>
      </c>
      <c r="C16" s="14">
        <v>3861.482</v>
      </c>
      <c r="D16" s="14">
        <v>0</v>
      </c>
      <c r="E16" s="14">
        <v>0</v>
      </c>
      <c r="F16" s="15"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24.75" customHeight="1">
      <c r="A17" s="26" t="s">
        <v>10</v>
      </c>
      <c r="B17" s="173">
        <v>3861.482</v>
      </c>
      <c r="C17" s="131">
        <v>3861.482</v>
      </c>
      <c r="D17" s="132"/>
      <c r="E17" s="132"/>
      <c r="F17" s="133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20.25" customHeight="1">
      <c r="A18" s="32" t="s">
        <v>44</v>
      </c>
      <c r="B18" s="180">
        <v>7.841</v>
      </c>
      <c r="C18" s="131">
        <v>7.841</v>
      </c>
      <c r="D18" s="137"/>
      <c r="E18" s="137"/>
      <c r="F18" s="138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24.75" customHeight="1">
      <c r="A19" s="26" t="s">
        <v>7</v>
      </c>
      <c r="B19" s="5">
        <v>0</v>
      </c>
      <c r="C19" s="14">
        <v>0</v>
      </c>
      <c r="D19" s="14">
        <v>0</v>
      </c>
      <c r="E19" s="14">
        <v>0</v>
      </c>
      <c r="F19" s="14"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0.75" customHeight="1">
      <c r="A20" s="26" t="s">
        <v>8</v>
      </c>
      <c r="B20" s="5">
        <v>0</v>
      </c>
      <c r="C20" s="134"/>
      <c r="D20" s="134"/>
      <c r="E20" s="134"/>
      <c r="F20" s="135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21.75" customHeight="1">
      <c r="A21" s="26" t="s">
        <v>39</v>
      </c>
      <c r="B21" s="6">
        <v>0</v>
      </c>
      <c r="C21" s="9"/>
      <c r="D21" s="9"/>
      <c r="E21" s="9"/>
      <c r="F21" s="10"/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19.5" customHeight="1">
      <c r="A22" s="26" t="s">
        <v>9</v>
      </c>
      <c r="B22" s="174">
        <v>0</v>
      </c>
      <c r="C22" s="132"/>
      <c r="D22" s="132"/>
      <c r="E22" s="132"/>
      <c r="F22" s="133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19.5" customHeight="1">
      <c r="A23" s="65" t="s">
        <v>19</v>
      </c>
      <c r="B23" s="5">
        <v>5775.223</v>
      </c>
      <c r="C23" s="14">
        <v>860.447</v>
      </c>
      <c r="D23" s="14"/>
      <c r="E23" s="14">
        <v>2052.133</v>
      </c>
      <c r="F23" s="15">
        <v>2862.643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20.25" customHeight="1">
      <c r="A24" s="26" t="s">
        <v>10</v>
      </c>
      <c r="B24" s="6">
        <v>3641.618</v>
      </c>
      <c r="C24" s="6">
        <v>776.65</v>
      </c>
      <c r="D24" s="6"/>
      <c r="E24" s="6">
        <v>1812.383</v>
      </c>
      <c r="F24" s="7">
        <v>1052.585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19.5" customHeight="1">
      <c r="A25" s="26" t="s">
        <v>7</v>
      </c>
      <c r="B25" s="5">
        <v>2133.605</v>
      </c>
      <c r="C25" s="14">
        <v>83.797</v>
      </c>
      <c r="D25" s="14">
        <v>0</v>
      </c>
      <c r="E25" s="14">
        <v>239.75</v>
      </c>
      <c r="F25" s="14">
        <v>1810.058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5.25" customHeight="1">
      <c r="A26" s="26" t="s">
        <v>8</v>
      </c>
      <c r="B26" s="6">
        <v>1327.712</v>
      </c>
      <c r="C26" s="9"/>
      <c r="D26" s="9"/>
      <c r="E26" s="9">
        <v>72.945</v>
      </c>
      <c r="F26" s="10">
        <v>1254.767</v>
      </c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19.5" customHeight="1">
      <c r="A27" s="26" t="s">
        <v>39</v>
      </c>
      <c r="B27" s="6">
        <v>0</v>
      </c>
      <c r="C27" s="9"/>
      <c r="D27" s="9"/>
      <c r="E27" s="9"/>
      <c r="F27" s="10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27.75" customHeight="1">
      <c r="A28" s="26" t="s">
        <v>9</v>
      </c>
      <c r="B28" s="6">
        <v>805.893</v>
      </c>
      <c r="C28" s="9">
        <v>83.797</v>
      </c>
      <c r="D28" s="9"/>
      <c r="E28" s="9">
        <v>166.805</v>
      </c>
      <c r="F28" s="10">
        <v>555.291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19.5" customHeight="1">
      <c r="A29" s="65" t="s">
        <v>55</v>
      </c>
      <c r="B29" s="6">
        <v>1549.165</v>
      </c>
      <c r="C29" s="14">
        <v>1549.165</v>
      </c>
      <c r="D29" s="6"/>
      <c r="E29" s="6"/>
      <c r="F29" s="7"/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20.25" customHeight="1">
      <c r="A30" s="26" t="s">
        <v>10</v>
      </c>
      <c r="B30" s="6">
        <v>1549.088</v>
      </c>
      <c r="C30" s="6">
        <v>1549.088</v>
      </c>
      <c r="D30" s="6"/>
      <c r="E30" s="14"/>
      <c r="F30" s="15"/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19.5" customHeight="1">
      <c r="A31" s="26" t="s">
        <v>7</v>
      </c>
      <c r="B31" s="5">
        <v>0.07699999999999996</v>
      </c>
      <c r="C31" s="14">
        <v>0.07699999999999996</v>
      </c>
      <c r="D31" s="14">
        <v>0</v>
      </c>
      <c r="E31" s="14">
        <v>0</v>
      </c>
      <c r="F31" s="14">
        <v>0</v>
      </c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42.75" customHeight="1">
      <c r="A32" s="26" t="s">
        <v>8</v>
      </c>
      <c r="B32" s="6">
        <v>0.07699999999999996</v>
      </c>
      <c r="C32" s="9">
        <v>0.07699999999999996</v>
      </c>
      <c r="D32" s="9"/>
      <c r="E32" s="9"/>
      <c r="F32" s="10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21.75" customHeight="1">
      <c r="A33" s="26" t="s">
        <v>39</v>
      </c>
      <c r="B33" s="6">
        <v>0</v>
      </c>
      <c r="C33" s="9"/>
      <c r="D33" s="9"/>
      <c r="E33" s="9"/>
      <c r="F33" s="10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21" customHeight="1">
      <c r="A34" s="26" t="s">
        <v>9</v>
      </c>
      <c r="B34" s="6">
        <v>0</v>
      </c>
      <c r="C34" s="9"/>
      <c r="D34" s="9"/>
      <c r="E34" s="9"/>
      <c r="F34" s="10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21.75" customHeight="1">
      <c r="A35" s="65" t="s">
        <v>61</v>
      </c>
      <c r="B35" s="6">
        <v>0</v>
      </c>
      <c r="C35" s="14">
        <v>0</v>
      </c>
      <c r="D35" s="14">
        <v>0</v>
      </c>
      <c r="E35" s="14">
        <v>0</v>
      </c>
      <c r="F35" s="15"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20.25" customHeight="1">
      <c r="A36" s="26" t="s">
        <v>10</v>
      </c>
      <c r="B36" s="6">
        <v>0</v>
      </c>
      <c r="C36" s="185"/>
      <c r="D36" s="185"/>
      <c r="E36" s="185"/>
      <c r="F36" s="186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21" customHeight="1">
      <c r="A37" s="26" t="s">
        <v>7</v>
      </c>
      <c r="B37" s="5">
        <v>0</v>
      </c>
      <c r="C37" s="14">
        <v>0</v>
      </c>
      <c r="D37" s="14">
        <v>0</v>
      </c>
      <c r="E37" s="14">
        <v>0</v>
      </c>
      <c r="F37" s="14">
        <v>0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9" customHeight="1">
      <c r="A38" s="26" t="s">
        <v>8</v>
      </c>
      <c r="B38" s="6">
        <v>0</v>
      </c>
      <c r="C38" s="9"/>
      <c r="D38" s="9"/>
      <c r="E38" s="9"/>
      <c r="F38" s="10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9.75" customHeight="1">
      <c r="A39" s="26" t="s">
        <v>39</v>
      </c>
      <c r="B39" s="6">
        <v>0</v>
      </c>
      <c r="C39" s="9"/>
      <c r="D39" s="9"/>
      <c r="E39" s="9"/>
      <c r="F39" s="10"/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44.25" customHeight="1">
      <c r="A40" s="26" t="s">
        <v>9</v>
      </c>
      <c r="B40" s="6">
        <v>0</v>
      </c>
      <c r="C40" s="9"/>
      <c r="D40" s="9"/>
      <c r="E40" s="9"/>
      <c r="F40" s="10"/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0.75" customHeight="1">
      <c r="A41" s="65" t="s">
        <v>47</v>
      </c>
      <c r="B41" s="6">
        <v>11821.226999999999</v>
      </c>
      <c r="C41" s="14">
        <v>6246.751</v>
      </c>
      <c r="D41" s="14"/>
      <c r="E41" s="14">
        <v>2073.23</v>
      </c>
      <c r="F41" s="15">
        <v>3501.2459999999996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20.25" customHeight="1">
      <c r="A42" s="32" t="s">
        <v>21</v>
      </c>
      <c r="B42" s="6">
        <v>4618.146000000001</v>
      </c>
      <c r="C42" s="6">
        <v>1534.4440000000004</v>
      </c>
      <c r="D42" s="6"/>
      <c r="E42" s="14">
        <v>2003.323</v>
      </c>
      <c r="F42" s="15">
        <v>1080.379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20.25" customHeight="1">
      <c r="A43" s="89" t="s">
        <v>71</v>
      </c>
      <c r="B43" s="6">
        <v>4712.307</v>
      </c>
      <c r="C43" s="6">
        <v>4712.307</v>
      </c>
      <c r="D43" s="6"/>
      <c r="E43" s="6"/>
      <c r="F43" s="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20.25" customHeight="1">
      <c r="A44" s="32" t="s">
        <v>26</v>
      </c>
      <c r="B44" s="84">
        <v>6.791</v>
      </c>
      <c r="C44" s="85">
        <v>6.791</v>
      </c>
      <c r="D44" s="84"/>
      <c r="E44" s="84"/>
      <c r="F44" s="3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20.25" customHeight="1">
      <c r="A45" s="26" t="s">
        <v>7</v>
      </c>
      <c r="B45" s="5">
        <v>2490.774</v>
      </c>
      <c r="C45" s="14">
        <v>0</v>
      </c>
      <c r="D45" s="14">
        <v>0</v>
      </c>
      <c r="E45" s="14">
        <v>69.907</v>
      </c>
      <c r="F45" s="14">
        <v>2420.8669999999997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9.75" customHeight="1">
      <c r="A46" s="26" t="s">
        <v>8</v>
      </c>
      <c r="B46" s="6">
        <v>2342.81</v>
      </c>
      <c r="C46" s="9"/>
      <c r="D46" s="9"/>
      <c r="E46" s="9">
        <v>69.907</v>
      </c>
      <c r="F46" s="10">
        <v>2272.903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22.5" customHeight="1">
      <c r="A47" s="26" t="s">
        <v>39</v>
      </c>
      <c r="B47" s="6">
        <v>116.749</v>
      </c>
      <c r="C47" s="9"/>
      <c r="D47" s="9"/>
      <c r="E47" s="9"/>
      <c r="F47" s="10">
        <v>116.749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24.75" customHeight="1">
      <c r="A48" s="26" t="s">
        <v>9</v>
      </c>
      <c r="B48" s="6">
        <v>31.215</v>
      </c>
      <c r="C48" s="9"/>
      <c r="D48" s="9"/>
      <c r="E48" s="9"/>
      <c r="F48" s="10">
        <v>31.215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18" customHeight="1">
      <c r="A49" s="65" t="s">
        <v>60</v>
      </c>
      <c r="B49" s="6">
        <v>88.201</v>
      </c>
      <c r="C49" s="14"/>
      <c r="D49" s="14"/>
      <c r="E49" s="14">
        <v>45.76</v>
      </c>
      <c r="F49" s="15">
        <v>42.441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20.25" customHeight="1">
      <c r="A50" s="26" t="s">
        <v>10</v>
      </c>
      <c r="B50" s="6">
        <v>66.583</v>
      </c>
      <c r="C50" s="6"/>
      <c r="D50" s="6"/>
      <c r="E50" s="14">
        <v>45.76</v>
      </c>
      <c r="F50" s="15">
        <v>20.823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18" customHeight="1">
      <c r="A51" s="26" t="s">
        <v>7</v>
      </c>
      <c r="B51" s="5">
        <v>21.618000000000002</v>
      </c>
      <c r="C51" s="14">
        <v>0</v>
      </c>
      <c r="D51" s="14">
        <v>0</v>
      </c>
      <c r="E51" s="14">
        <v>0</v>
      </c>
      <c r="F51" s="14">
        <v>21.618000000000002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40.5" customHeight="1">
      <c r="A52" s="26" t="s">
        <v>8</v>
      </c>
      <c r="B52" s="6">
        <v>17.074</v>
      </c>
      <c r="C52" s="9"/>
      <c r="D52" s="9"/>
      <c r="E52" s="9"/>
      <c r="F52" s="10">
        <v>17.074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23.25" customHeight="1">
      <c r="A53" s="26" t="s">
        <v>39</v>
      </c>
      <c r="B53" s="6">
        <v>0</v>
      </c>
      <c r="C53" s="9"/>
      <c r="D53" s="9"/>
      <c r="E53" s="9"/>
      <c r="F53" s="10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23.25" customHeight="1">
      <c r="A54" s="26" t="s">
        <v>9</v>
      </c>
      <c r="B54" s="6">
        <v>4.544</v>
      </c>
      <c r="C54" s="9"/>
      <c r="D54" s="9"/>
      <c r="E54" s="9"/>
      <c r="F54" s="10">
        <v>4.544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23.25" customHeight="1">
      <c r="A55" s="65" t="s">
        <v>59</v>
      </c>
      <c r="B55" s="6">
        <v>9.552</v>
      </c>
      <c r="C55" s="14">
        <v>0</v>
      </c>
      <c r="D55" s="14"/>
      <c r="E55" s="14">
        <v>0</v>
      </c>
      <c r="F55" s="15">
        <v>9.552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20.25" customHeight="1">
      <c r="A56" s="26" t="s">
        <v>10</v>
      </c>
      <c r="B56" s="6">
        <v>9.552</v>
      </c>
      <c r="C56" s="6"/>
      <c r="D56" s="6"/>
      <c r="E56" s="6"/>
      <c r="F56" s="7">
        <v>9.552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23.25" customHeight="1">
      <c r="A57" s="26" t="s">
        <v>7</v>
      </c>
      <c r="B57" s="5">
        <v>0</v>
      </c>
      <c r="C57" s="14">
        <v>0</v>
      </c>
      <c r="D57" s="14">
        <v>0</v>
      </c>
      <c r="E57" s="14">
        <v>0</v>
      </c>
      <c r="F57" s="14"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8.25" customHeight="1">
      <c r="A58" s="26" t="s">
        <v>8</v>
      </c>
      <c r="B58" s="6">
        <v>0</v>
      </c>
      <c r="C58" s="14"/>
      <c r="D58" s="14"/>
      <c r="E58" s="14"/>
      <c r="F58" s="10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19.5" customHeight="1">
      <c r="A59" s="26" t="s">
        <v>39</v>
      </c>
      <c r="B59" s="6">
        <v>0</v>
      </c>
      <c r="C59" s="9"/>
      <c r="D59" s="9"/>
      <c r="E59" s="9"/>
      <c r="F59" s="10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19.5" customHeight="1">
      <c r="A60" s="26" t="s">
        <v>9</v>
      </c>
      <c r="B60" s="6">
        <v>0</v>
      </c>
      <c r="C60" s="14"/>
      <c r="D60" s="14"/>
      <c r="E60" s="14"/>
      <c r="F60" s="10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19.5" customHeight="1">
      <c r="A61" s="65" t="s">
        <v>48</v>
      </c>
      <c r="B61" s="6">
        <v>2410.952</v>
      </c>
      <c r="C61" s="14">
        <v>2324.63</v>
      </c>
      <c r="D61" s="14"/>
      <c r="E61" s="14">
        <v>86.322</v>
      </c>
      <c r="F61" s="1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20.25" customHeight="1">
      <c r="A62" s="26" t="s">
        <v>10</v>
      </c>
      <c r="B62" s="6">
        <v>2410.952</v>
      </c>
      <c r="C62" s="185">
        <v>2324.63</v>
      </c>
      <c r="D62" s="185"/>
      <c r="E62" s="185">
        <v>86.322</v>
      </c>
      <c r="F62" s="7"/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19.5" customHeight="1">
      <c r="A63" s="26" t="s">
        <v>7</v>
      </c>
      <c r="B63" s="5">
        <v>0</v>
      </c>
      <c r="C63" s="14">
        <v>0</v>
      </c>
      <c r="D63" s="14">
        <v>0</v>
      </c>
      <c r="E63" s="14">
        <v>0</v>
      </c>
      <c r="F63" s="14"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24.75" customHeight="1">
      <c r="A64" s="26" t="s">
        <v>8</v>
      </c>
      <c r="B64" s="6">
        <v>0</v>
      </c>
      <c r="C64" s="14"/>
      <c r="D64" s="14"/>
      <c r="E64" s="14"/>
      <c r="F64" s="10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23.25" customHeight="1">
      <c r="A65" s="26" t="s">
        <v>39</v>
      </c>
      <c r="B65" s="6">
        <v>0</v>
      </c>
      <c r="C65" s="9"/>
      <c r="D65" s="9"/>
      <c r="E65" s="9"/>
      <c r="F65" s="10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23.25" customHeight="1">
      <c r="A66" s="26" t="s">
        <v>9</v>
      </c>
      <c r="B66" s="6">
        <v>0</v>
      </c>
      <c r="C66" s="14"/>
      <c r="D66" s="14"/>
      <c r="E66" s="14"/>
      <c r="F66" s="1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23.25" customHeight="1">
      <c r="A67" s="92" t="s">
        <v>16</v>
      </c>
      <c r="B67" s="6">
        <v>502.658</v>
      </c>
      <c r="C67" s="8"/>
      <c r="D67" s="6"/>
      <c r="E67" s="6">
        <v>363.81</v>
      </c>
      <c r="F67" s="7">
        <v>138.848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20.25" customHeight="1">
      <c r="A68" s="26" t="s">
        <v>10</v>
      </c>
      <c r="B68" s="6">
        <v>502.658</v>
      </c>
      <c r="C68" s="6"/>
      <c r="D68" s="6"/>
      <c r="E68" s="14">
        <v>363.81</v>
      </c>
      <c r="F68" s="15">
        <v>138.848</v>
      </c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23.25" customHeight="1">
      <c r="A69" s="26" t="s">
        <v>7</v>
      </c>
      <c r="B69" s="5">
        <v>0</v>
      </c>
      <c r="C69" s="14">
        <v>0</v>
      </c>
      <c r="D69" s="14">
        <v>0</v>
      </c>
      <c r="E69" s="14">
        <v>0</v>
      </c>
      <c r="F69" s="14">
        <v>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23.25" customHeight="1">
      <c r="A70" s="26" t="s">
        <v>8</v>
      </c>
      <c r="B70" s="6">
        <v>0</v>
      </c>
      <c r="C70" s="8"/>
      <c r="D70" s="6"/>
      <c r="E70" s="8"/>
      <c r="F70" s="1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47.25" customHeight="1">
      <c r="A71" s="26" t="s">
        <v>39</v>
      </c>
      <c r="B71" s="6">
        <v>0</v>
      </c>
      <c r="C71" s="9"/>
      <c r="D71" s="9"/>
      <c r="E71" s="9"/>
      <c r="F71" s="10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56.25" customHeight="1">
      <c r="A72" s="26" t="s">
        <v>9</v>
      </c>
      <c r="B72" s="6">
        <v>0</v>
      </c>
      <c r="C72" s="8"/>
      <c r="D72" s="6"/>
      <c r="E72" s="8"/>
      <c r="F72" s="1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6" customHeight="1">
      <c r="A73" s="92" t="s">
        <v>4</v>
      </c>
      <c r="B73" s="6">
        <v>725.05</v>
      </c>
      <c r="C73" s="6">
        <v>725.05</v>
      </c>
      <c r="D73" s="6"/>
      <c r="E73" s="6"/>
      <c r="F73" s="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28.5" customHeight="1">
      <c r="A74" s="32" t="s">
        <v>21</v>
      </c>
      <c r="B74" s="6">
        <v>332.32899999999995</v>
      </c>
      <c r="C74" s="14">
        <v>332.32899999999995</v>
      </c>
      <c r="D74" s="6"/>
      <c r="E74" s="14">
        <v>0</v>
      </c>
      <c r="F74" s="15">
        <v>0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28.5" customHeight="1">
      <c r="A75" s="89" t="s">
        <v>30</v>
      </c>
      <c r="B75" s="47">
        <v>392.721</v>
      </c>
      <c r="C75" s="52">
        <v>392.721</v>
      </c>
      <c r="D75" s="118"/>
      <c r="E75" s="118"/>
      <c r="F75" s="1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28.5" customHeight="1">
      <c r="A76" s="32" t="s">
        <v>31</v>
      </c>
      <c r="B76" s="72">
        <v>0.6970000000000001</v>
      </c>
      <c r="C76" s="52">
        <v>0.6970000000000001</v>
      </c>
      <c r="D76" s="118"/>
      <c r="E76" s="118"/>
      <c r="F76" s="1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28.5" customHeight="1">
      <c r="A77" s="66" t="s">
        <v>32</v>
      </c>
      <c r="B77" s="41">
        <v>208.861</v>
      </c>
      <c r="C77" s="139">
        <v>208.861</v>
      </c>
      <c r="D77" s="40"/>
      <c r="E77" s="40"/>
      <c r="F77" s="1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23.25" customHeight="1">
      <c r="A78" s="66" t="s">
        <v>33</v>
      </c>
      <c r="B78" s="41">
        <v>0.388</v>
      </c>
      <c r="C78" s="139">
        <v>0.388</v>
      </c>
      <c r="D78" s="41"/>
      <c r="E78" s="41"/>
      <c r="F78" s="1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23.25" customHeight="1">
      <c r="A79" s="66" t="s">
        <v>34</v>
      </c>
      <c r="B79" s="41">
        <v>183.86</v>
      </c>
      <c r="C79" s="139">
        <v>183.86</v>
      </c>
      <c r="D79" s="40"/>
      <c r="E79" s="40"/>
      <c r="F79" s="1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20.25" customHeight="1">
      <c r="A80" s="66" t="s">
        <v>35</v>
      </c>
      <c r="B80" s="41">
        <v>0.309</v>
      </c>
      <c r="C80" s="139">
        <v>0.309</v>
      </c>
      <c r="D80" s="41"/>
      <c r="E80" s="41"/>
      <c r="F80" s="15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23.25" customHeight="1">
      <c r="A81" s="26" t="s">
        <v>7</v>
      </c>
      <c r="B81" s="5">
        <v>0</v>
      </c>
      <c r="C81" s="14">
        <v>0</v>
      </c>
      <c r="D81" s="14">
        <v>0</v>
      </c>
      <c r="E81" s="14">
        <v>0</v>
      </c>
      <c r="F81" s="14"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51" customHeight="1">
      <c r="A82" s="26" t="s">
        <v>8</v>
      </c>
      <c r="B82" s="6">
        <v>0</v>
      </c>
      <c r="C82" s="9"/>
      <c r="D82" s="6"/>
      <c r="E82" s="6"/>
      <c r="F82" s="7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27" customHeight="1">
      <c r="A83" s="26" t="s">
        <v>39</v>
      </c>
      <c r="B83" s="6">
        <v>0</v>
      </c>
      <c r="C83" s="9"/>
      <c r="D83" s="9"/>
      <c r="E83" s="9"/>
      <c r="F83" s="10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6.75" customHeight="1">
      <c r="A84" s="26" t="s">
        <v>9</v>
      </c>
      <c r="B84" s="6">
        <v>0</v>
      </c>
      <c r="C84" s="9"/>
      <c r="D84" s="6"/>
      <c r="E84" s="6"/>
      <c r="F84" s="7"/>
      <c r="G84" s="120"/>
      <c r="H84" s="120"/>
    </row>
    <row r="85" spans="1:8" s="30" customFormat="1" ht="25.5" customHeight="1">
      <c r="A85" s="65" t="s">
        <v>58</v>
      </c>
      <c r="B85" s="6">
        <v>1861.8288</v>
      </c>
      <c r="C85" s="14">
        <v>1070.576</v>
      </c>
      <c r="D85" s="14">
        <v>0</v>
      </c>
      <c r="E85" s="14">
        <v>358.92780000000005</v>
      </c>
      <c r="F85" s="15">
        <v>432.325</v>
      </c>
      <c r="G85" s="120"/>
      <c r="H85" s="120"/>
    </row>
    <row r="86" spans="1:18" s="3" customFormat="1" ht="23.25" customHeight="1">
      <c r="A86" s="26" t="s">
        <v>10</v>
      </c>
      <c r="B86" s="6">
        <v>674.1338000000001</v>
      </c>
      <c r="C86" s="14">
        <v>191.096</v>
      </c>
      <c r="D86" s="14"/>
      <c r="E86" s="14">
        <v>358.92780000000005</v>
      </c>
      <c r="F86" s="15">
        <v>124.11</v>
      </c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23.25" customHeight="1">
      <c r="A87" s="32" t="s">
        <v>49</v>
      </c>
      <c r="B87" s="6">
        <v>879.48</v>
      </c>
      <c r="C87" s="14">
        <v>879.48</v>
      </c>
      <c r="D87" s="6"/>
      <c r="E87" s="6"/>
      <c r="F87" s="7"/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20.25" customHeight="1">
      <c r="A88" s="32" t="s">
        <v>26</v>
      </c>
      <c r="B88" s="72">
        <v>1.442</v>
      </c>
      <c r="C88" s="14">
        <v>1.442</v>
      </c>
      <c r="D88" s="84"/>
      <c r="E88" s="84"/>
      <c r="F88" s="39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23.25" customHeight="1">
      <c r="A89" s="26" t="s">
        <v>7</v>
      </c>
      <c r="B89" s="5">
        <v>308.215</v>
      </c>
      <c r="C89" s="14">
        <v>0</v>
      </c>
      <c r="D89" s="14">
        <v>0</v>
      </c>
      <c r="E89" s="14">
        <v>0</v>
      </c>
      <c r="F89" s="14">
        <v>308.215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23.25" customHeight="1">
      <c r="A90" s="26" t="s">
        <v>8</v>
      </c>
      <c r="B90" s="6">
        <v>269.876</v>
      </c>
      <c r="C90" s="9"/>
      <c r="D90" s="6"/>
      <c r="E90" s="6"/>
      <c r="F90" s="7">
        <v>269.876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23.25" customHeight="1">
      <c r="A91" s="26" t="s">
        <v>39</v>
      </c>
      <c r="B91" s="6">
        <v>0</v>
      </c>
      <c r="C91" s="9"/>
      <c r="D91" s="9"/>
      <c r="E91" s="9"/>
      <c r="F91" s="10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6.75" customHeight="1">
      <c r="A92" s="26" t="s">
        <v>9</v>
      </c>
      <c r="B92" s="6">
        <v>38.339</v>
      </c>
      <c r="C92" s="9"/>
      <c r="D92" s="6"/>
      <c r="E92" s="6"/>
      <c r="F92" s="7">
        <v>38.339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27" customHeight="1">
      <c r="A93" s="65" t="s">
        <v>15</v>
      </c>
      <c r="B93" s="6">
        <v>2165.281</v>
      </c>
      <c r="C93" s="6">
        <v>2152.737</v>
      </c>
      <c r="D93" s="6"/>
      <c r="E93" s="6">
        <v>0</v>
      </c>
      <c r="F93" s="7">
        <v>12.544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23.25" customHeight="1">
      <c r="A94" s="26" t="s">
        <v>10</v>
      </c>
      <c r="B94" s="6">
        <v>838.122</v>
      </c>
      <c r="C94" s="14">
        <v>825.578</v>
      </c>
      <c r="D94" s="14"/>
      <c r="E94" s="14"/>
      <c r="F94" s="15">
        <v>12.544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23.25" customHeight="1">
      <c r="A95" s="32" t="s">
        <v>38</v>
      </c>
      <c r="B95" s="6">
        <v>1327.159</v>
      </c>
      <c r="C95" s="94">
        <v>1327.159</v>
      </c>
      <c r="D95" s="6"/>
      <c r="E95" s="6"/>
      <c r="F95" s="7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20.25" customHeight="1">
      <c r="A96" s="32" t="s">
        <v>26</v>
      </c>
      <c r="B96" s="72">
        <v>2.116</v>
      </c>
      <c r="C96" s="94">
        <v>2.116</v>
      </c>
      <c r="D96" s="84"/>
      <c r="E96" s="84"/>
      <c r="F96" s="39"/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23.25" customHeight="1">
      <c r="A97" s="26" t="s">
        <v>7</v>
      </c>
      <c r="B97" s="5">
        <v>0</v>
      </c>
      <c r="C97" s="14">
        <v>0</v>
      </c>
      <c r="D97" s="14">
        <v>0</v>
      </c>
      <c r="E97" s="14">
        <v>0</v>
      </c>
      <c r="F97" s="14">
        <v>0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23.25" customHeight="1">
      <c r="A98" s="26" t="s">
        <v>8</v>
      </c>
      <c r="B98" s="6">
        <v>0</v>
      </c>
      <c r="C98" s="9"/>
      <c r="D98" s="6"/>
      <c r="E98" s="8"/>
      <c r="F98" s="1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23.25" customHeight="1">
      <c r="A99" s="26" t="s">
        <v>39</v>
      </c>
      <c r="B99" s="6">
        <v>0</v>
      </c>
      <c r="C99" s="9"/>
      <c r="D99" s="9"/>
      <c r="E99" s="9"/>
      <c r="F99" s="10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23.25" customHeight="1">
      <c r="A100" s="26" t="s">
        <v>9</v>
      </c>
      <c r="B100" s="6">
        <v>0</v>
      </c>
      <c r="C100" s="9"/>
      <c r="D100" s="6"/>
      <c r="E100" s="8"/>
      <c r="F100" s="1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23.25" customHeight="1">
      <c r="A101" s="65" t="s">
        <v>57</v>
      </c>
      <c r="B101" s="6">
        <v>20.859</v>
      </c>
      <c r="C101" s="6">
        <v>0</v>
      </c>
      <c r="D101" s="6"/>
      <c r="E101" s="6">
        <v>20.859</v>
      </c>
      <c r="F101" s="7"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20.25" customHeight="1">
      <c r="A102" s="26" t="s">
        <v>10</v>
      </c>
      <c r="B102" s="6">
        <v>20.859</v>
      </c>
      <c r="C102" s="42"/>
      <c r="D102" s="42"/>
      <c r="E102" s="42">
        <v>20.859</v>
      </c>
      <c r="F102" s="39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23.25" customHeight="1">
      <c r="A103" s="26" t="s">
        <v>7</v>
      </c>
      <c r="B103" s="5">
        <v>0</v>
      </c>
      <c r="C103" s="14">
        <v>0</v>
      </c>
      <c r="D103" s="14">
        <v>0</v>
      </c>
      <c r="E103" s="14">
        <v>0</v>
      </c>
      <c r="F103" s="14"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44.25" customHeight="1">
      <c r="A104" s="26" t="s">
        <v>8</v>
      </c>
      <c r="B104" s="6">
        <v>0</v>
      </c>
      <c r="C104" s="9"/>
      <c r="D104" s="6"/>
      <c r="E104" s="8"/>
      <c r="F104" s="1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23.25" customHeight="1">
      <c r="A105" s="26" t="s">
        <v>39</v>
      </c>
      <c r="B105" s="6">
        <v>0</v>
      </c>
      <c r="C105" s="9"/>
      <c r="D105" s="9"/>
      <c r="E105" s="9"/>
      <c r="F105" s="10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23.25" customHeight="1">
      <c r="A106" s="26" t="s">
        <v>9</v>
      </c>
      <c r="B106" s="6">
        <v>0</v>
      </c>
      <c r="C106" s="9"/>
      <c r="D106" s="6"/>
      <c r="E106" s="8"/>
      <c r="F106" s="1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23.25" customHeight="1">
      <c r="A107" s="65" t="s">
        <v>14</v>
      </c>
      <c r="B107" s="6">
        <v>98.678</v>
      </c>
      <c r="C107" s="9"/>
      <c r="D107" s="6"/>
      <c r="E107" s="6">
        <v>0</v>
      </c>
      <c r="F107" s="7">
        <v>98.678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20.25" customHeight="1">
      <c r="A108" s="26" t="s">
        <v>10</v>
      </c>
      <c r="B108" s="6">
        <v>0.71</v>
      </c>
      <c r="C108" s="9"/>
      <c r="D108" s="6"/>
      <c r="E108" s="6"/>
      <c r="F108" s="121">
        <v>0.71</v>
      </c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23.25" customHeight="1">
      <c r="A109" s="26" t="s">
        <v>7</v>
      </c>
      <c r="B109" s="5">
        <v>97.968</v>
      </c>
      <c r="C109" s="14">
        <v>0</v>
      </c>
      <c r="D109" s="14">
        <v>0</v>
      </c>
      <c r="E109" s="14">
        <v>0</v>
      </c>
      <c r="F109" s="14">
        <v>97.968</v>
      </c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47.25" customHeight="1">
      <c r="A110" s="26" t="s">
        <v>8</v>
      </c>
      <c r="B110" s="6">
        <v>97.968</v>
      </c>
      <c r="C110" s="9"/>
      <c r="D110" s="6"/>
      <c r="E110" s="8"/>
      <c r="F110" s="13">
        <v>97.968</v>
      </c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23.25" customHeight="1">
      <c r="A111" s="26" t="s">
        <v>39</v>
      </c>
      <c r="B111" s="6">
        <v>0</v>
      </c>
      <c r="C111" s="9"/>
      <c r="D111" s="9"/>
      <c r="E111" s="9"/>
      <c r="F111" s="10"/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23.25" customHeight="1">
      <c r="A112" s="26" t="s">
        <v>9</v>
      </c>
      <c r="B112" s="6">
        <v>0</v>
      </c>
      <c r="C112" s="9"/>
      <c r="D112" s="6"/>
      <c r="E112" s="8"/>
      <c r="F112" s="13"/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23.25" customHeight="1">
      <c r="A113" s="65" t="s">
        <v>18</v>
      </c>
      <c r="B113" s="6">
        <v>222.47699999999998</v>
      </c>
      <c r="C113" s="9"/>
      <c r="D113" s="6"/>
      <c r="E113" s="6">
        <v>13.521</v>
      </c>
      <c r="F113" s="7">
        <v>208.956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20.25" customHeight="1">
      <c r="A114" s="26" t="s">
        <v>10</v>
      </c>
      <c r="B114" s="6">
        <v>64.52</v>
      </c>
      <c r="C114" s="9"/>
      <c r="D114" s="6"/>
      <c r="E114" s="119">
        <v>13.521</v>
      </c>
      <c r="F114" s="121">
        <v>50.999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23.25" customHeight="1">
      <c r="A115" s="26" t="s">
        <v>7</v>
      </c>
      <c r="B115" s="5">
        <v>157.957</v>
      </c>
      <c r="C115" s="14">
        <v>0</v>
      </c>
      <c r="D115" s="14">
        <v>0</v>
      </c>
      <c r="E115" s="14">
        <v>0</v>
      </c>
      <c r="F115" s="14">
        <v>157.957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23.25" customHeight="1">
      <c r="A116" s="26" t="s">
        <v>8</v>
      </c>
      <c r="B116" s="6">
        <v>0</v>
      </c>
      <c r="C116" s="9"/>
      <c r="D116" s="6"/>
      <c r="E116" s="6"/>
      <c r="F116" s="7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23.25" customHeight="1">
      <c r="A117" s="26" t="s">
        <v>39</v>
      </c>
      <c r="B117" s="6">
        <v>0</v>
      </c>
      <c r="C117" s="9"/>
      <c r="D117" s="9"/>
      <c r="E117" s="9"/>
      <c r="F117" s="10"/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23.25" customHeight="1">
      <c r="A118" s="26" t="s">
        <v>9</v>
      </c>
      <c r="B118" s="6">
        <v>157.957</v>
      </c>
      <c r="C118" s="9"/>
      <c r="D118" s="6"/>
      <c r="E118" s="6"/>
      <c r="F118" s="13">
        <v>157.957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23.25" customHeight="1">
      <c r="A119" s="65" t="s">
        <v>13</v>
      </c>
      <c r="B119" s="6">
        <v>195.33</v>
      </c>
      <c r="C119" s="6">
        <v>0</v>
      </c>
      <c r="D119" s="6"/>
      <c r="E119" s="6">
        <v>195.33</v>
      </c>
      <c r="F119" s="7">
        <v>0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20.25" customHeight="1">
      <c r="A120" s="26" t="s">
        <v>10</v>
      </c>
      <c r="B120" s="6">
        <v>195.33</v>
      </c>
      <c r="C120" s="42"/>
      <c r="D120" s="42"/>
      <c r="E120" s="42">
        <v>195.33</v>
      </c>
      <c r="F120" s="39"/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23.25" customHeight="1">
      <c r="A121" s="26" t="s">
        <v>7</v>
      </c>
      <c r="B121" s="5">
        <v>0</v>
      </c>
      <c r="C121" s="14">
        <v>0</v>
      </c>
      <c r="D121" s="14">
        <v>0</v>
      </c>
      <c r="E121" s="14">
        <v>0</v>
      </c>
      <c r="F121" s="14">
        <v>0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25.5" customHeight="1">
      <c r="A122" s="26" t="s">
        <v>8</v>
      </c>
      <c r="B122" s="6">
        <v>0</v>
      </c>
      <c r="C122" s="9"/>
      <c r="D122" s="6"/>
      <c r="E122" s="8"/>
      <c r="F122" s="13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23.25" customHeight="1">
      <c r="A123" s="26" t="s">
        <v>39</v>
      </c>
      <c r="B123" s="6">
        <v>0</v>
      </c>
      <c r="C123" s="9"/>
      <c r="D123" s="9"/>
      <c r="E123" s="9"/>
      <c r="F123" s="10"/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23.25" customHeight="1">
      <c r="A124" s="26" t="s">
        <v>9</v>
      </c>
      <c r="B124" s="6">
        <v>0</v>
      </c>
      <c r="C124" s="9"/>
      <c r="D124" s="6"/>
      <c r="E124" s="8"/>
      <c r="F124" s="13"/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23.25" customHeight="1">
      <c r="A125" s="65" t="s">
        <v>62</v>
      </c>
      <c r="B125" s="6">
        <v>7.9392</v>
      </c>
      <c r="C125" s="9"/>
      <c r="D125" s="6"/>
      <c r="E125" s="6">
        <v>0</v>
      </c>
      <c r="F125" s="7">
        <v>7.9392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20.25" customHeight="1">
      <c r="A126" s="26" t="s">
        <v>10</v>
      </c>
      <c r="B126" s="6">
        <v>7.9392</v>
      </c>
      <c r="C126" s="9"/>
      <c r="D126" s="6"/>
      <c r="E126" s="6"/>
      <c r="F126" s="121">
        <v>7.9392</v>
      </c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23.25" customHeight="1">
      <c r="A127" s="26" t="s">
        <v>7</v>
      </c>
      <c r="B127" s="5">
        <v>0</v>
      </c>
      <c r="C127" s="14">
        <v>0</v>
      </c>
      <c r="D127" s="14">
        <v>0</v>
      </c>
      <c r="E127" s="14">
        <v>0</v>
      </c>
      <c r="F127" s="14"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26.25" customHeight="1">
      <c r="A128" s="26" t="s">
        <v>8</v>
      </c>
      <c r="B128" s="6">
        <v>0</v>
      </c>
      <c r="C128" s="9"/>
      <c r="D128" s="6"/>
      <c r="E128" s="8"/>
      <c r="F128" s="1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23.25" customHeight="1">
      <c r="A129" s="26" t="s">
        <v>39</v>
      </c>
      <c r="B129" s="6">
        <v>0</v>
      </c>
      <c r="C129" s="9"/>
      <c r="D129" s="9"/>
      <c r="E129" s="9"/>
      <c r="F129" s="10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23.25" customHeight="1">
      <c r="A130" s="26" t="s">
        <v>9</v>
      </c>
      <c r="B130" s="6">
        <v>0</v>
      </c>
      <c r="C130" s="9"/>
      <c r="D130" s="6"/>
      <c r="E130" s="8"/>
      <c r="F130" s="1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23.25" customHeight="1">
      <c r="A131" s="65"/>
      <c r="B131" s="6">
        <v>0</v>
      </c>
      <c r="C131" s="9"/>
      <c r="D131" s="6"/>
      <c r="E131" s="6">
        <v>0</v>
      </c>
      <c r="F131" s="7">
        <v>0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20.25" customHeight="1">
      <c r="A132" s="26" t="s">
        <v>10</v>
      </c>
      <c r="B132" s="6">
        <v>0</v>
      </c>
      <c r="C132" s="9"/>
      <c r="D132" s="6"/>
      <c r="E132" s="6"/>
      <c r="F132" s="121"/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23.25" customHeight="1">
      <c r="A133" s="26" t="s">
        <v>7</v>
      </c>
      <c r="B133" s="5">
        <v>0</v>
      </c>
      <c r="C133" s="14">
        <v>0</v>
      </c>
      <c r="D133" s="14">
        <v>0</v>
      </c>
      <c r="E133" s="14">
        <v>0</v>
      </c>
      <c r="F133" s="14"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22.5" customHeight="1">
      <c r="A134" s="26" t="s">
        <v>8</v>
      </c>
      <c r="B134" s="6">
        <v>0</v>
      </c>
      <c r="C134" s="9"/>
      <c r="D134" s="6"/>
      <c r="E134" s="6"/>
      <c r="F134" s="7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23.25" customHeight="1">
      <c r="A135" s="26" t="s">
        <v>39</v>
      </c>
      <c r="B135" s="6">
        <v>0</v>
      </c>
      <c r="C135" s="9"/>
      <c r="D135" s="9"/>
      <c r="E135" s="9"/>
      <c r="F135" s="10"/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23.25" customHeight="1">
      <c r="A136" s="26" t="s">
        <v>9</v>
      </c>
      <c r="B136" s="6">
        <v>0</v>
      </c>
      <c r="C136" s="9"/>
      <c r="D136" s="6"/>
      <c r="E136" s="6"/>
      <c r="F136" s="7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23.25" customHeight="1">
      <c r="A137" s="65" t="s">
        <v>56</v>
      </c>
      <c r="B137" s="6">
        <v>148.256</v>
      </c>
      <c r="C137" s="9"/>
      <c r="D137" s="6"/>
      <c r="E137" s="6">
        <v>148.256</v>
      </c>
      <c r="F137" s="7"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20.25" customHeight="1">
      <c r="A138" s="26" t="s">
        <v>10</v>
      </c>
      <c r="B138" s="6">
        <v>73.656</v>
      </c>
      <c r="C138" s="9"/>
      <c r="D138" s="6"/>
      <c r="E138" s="6">
        <v>73.656</v>
      </c>
      <c r="F138" s="121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23.25" customHeight="1">
      <c r="A139" s="26" t="s">
        <v>7</v>
      </c>
      <c r="B139" s="5">
        <v>74.6</v>
      </c>
      <c r="C139" s="14">
        <v>0</v>
      </c>
      <c r="D139" s="14">
        <v>0</v>
      </c>
      <c r="E139" s="14">
        <v>74.6</v>
      </c>
      <c r="F139" s="14"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24.75" customHeight="1">
      <c r="A140" s="26" t="s">
        <v>8</v>
      </c>
      <c r="B140" s="6">
        <v>74.6</v>
      </c>
      <c r="C140" s="9"/>
      <c r="D140" s="6"/>
      <c r="E140" s="6">
        <v>74.6</v>
      </c>
      <c r="F140" s="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24.75" customHeight="1">
      <c r="A141" s="26" t="s">
        <v>39</v>
      </c>
      <c r="B141" s="6">
        <v>0</v>
      </c>
      <c r="C141" s="9"/>
      <c r="D141" s="9"/>
      <c r="E141" s="9"/>
      <c r="F141" s="10"/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24.75" customHeight="1">
      <c r="A142" s="26" t="s">
        <v>9</v>
      </c>
      <c r="B142" s="6">
        <v>0</v>
      </c>
      <c r="C142" s="9"/>
      <c r="D142" s="6"/>
      <c r="E142" s="6"/>
      <c r="F142" s="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24.75" customHeight="1">
      <c r="A143" s="65" t="s">
        <v>6</v>
      </c>
      <c r="B143" s="6">
        <v>1502.904</v>
      </c>
      <c r="C143" s="14">
        <v>0</v>
      </c>
      <c r="D143" s="14">
        <v>0</v>
      </c>
      <c r="E143" s="14">
        <v>679.67</v>
      </c>
      <c r="F143" s="15">
        <v>823.234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20.25" customHeight="1">
      <c r="A144" s="26" t="s">
        <v>10</v>
      </c>
      <c r="B144" s="6">
        <v>683.7959999999999</v>
      </c>
      <c r="C144" s="6"/>
      <c r="D144" s="6"/>
      <c r="E144" s="14">
        <v>495.352</v>
      </c>
      <c r="F144" s="15">
        <v>188.444</v>
      </c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24.75" customHeight="1">
      <c r="A145" s="26" t="s">
        <v>7</v>
      </c>
      <c r="B145" s="5">
        <v>819.1080000000001</v>
      </c>
      <c r="C145" s="14">
        <v>0</v>
      </c>
      <c r="D145" s="14">
        <v>0</v>
      </c>
      <c r="E145" s="14">
        <v>184.31799999999998</v>
      </c>
      <c r="F145" s="14">
        <v>634.79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24.75" customHeight="1">
      <c r="A146" s="26" t="s">
        <v>8</v>
      </c>
      <c r="B146" s="6">
        <v>614.907</v>
      </c>
      <c r="C146" s="6"/>
      <c r="D146" s="6"/>
      <c r="E146" s="9">
        <v>172.684</v>
      </c>
      <c r="F146" s="10">
        <v>442.223</v>
      </c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24.75" customHeight="1">
      <c r="A147" s="26" t="s">
        <v>39</v>
      </c>
      <c r="B147" s="6">
        <v>92.64</v>
      </c>
      <c r="C147" s="6"/>
      <c r="D147" s="6"/>
      <c r="E147" s="9">
        <v>10.48</v>
      </c>
      <c r="F147" s="10">
        <v>82.16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6.75" customHeight="1">
      <c r="A148" s="26" t="s">
        <v>9</v>
      </c>
      <c r="B148" s="6">
        <v>111.56099999999999</v>
      </c>
      <c r="C148" s="6"/>
      <c r="D148" s="6"/>
      <c r="E148" s="9">
        <v>1.154</v>
      </c>
      <c r="F148" s="10">
        <v>110.407</v>
      </c>
      <c r="G148" s="120"/>
      <c r="H148" s="120"/>
    </row>
    <row r="149" spans="1:8" s="30" customFormat="1" ht="23.25" customHeight="1">
      <c r="A149" s="65" t="s">
        <v>5</v>
      </c>
      <c r="B149" s="6">
        <v>2949.343</v>
      </c>
      <c r="C149" s="14">
        <v>340.089</v>
      </c>
      <c r="D149" s="14">
        <v>0</v>
      </c>
      <c r="E149" s="14">
        <v>1786.9009999999998</v>
      </c>
      <c r="F149" s="15">
        <v>822.3530000000001</v>
      </c>
      <c r="G149" s="120"/>
      <c r="H149" s="120"/>
    </row>
    <row r="150" spans="1:18" s="3" customFormat="1" ht="24.75" customHeight="1">
      <c r="A150" s="26" t="s">
        <v>10</v>
      </c>
      <c r="B150" s="6">
        <v>1617.742</v>
      </c>
      <c r="C150" s="14"/>
      <c r="D150" s="6"/>
      <c r="E150" s="14">
        <v>1401.773</v>
      </c>
      <c r="F150" s="15">
        <v>215.969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24.75" customHeight="1">
      <c r="A151" s="32" t="s">
        <v>50</v>
      </c>
      <c r="B151" s="6">
        <v>340.089</v>
      </c>
      <c r="C151" s="94">
        <v>340.089</v>
      </c>
      <c r="D151" s="6"/>
      <c r="E151" s="6"/>
      <c r="F151" s="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20.25" customHeight="1">
      <c r="A152" s="32" t="s">
        <v>26</v>
      </c>
      <c r="B152" s="72">
        <v>0.513</v>
      </c>
      <c r="C152" s="94">
        <v>0.513</v>
      </c>
      <c r="D152" s="84"/>
      <c r="E152" s="84"/>
      <c r="F152" s="39"/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24.75" customHeight="1">
      <c r="A153" s="26" t="s">
        <v>7</v>
      </c>
      <c r="B153" s="5">
        <v>991.512</v>
      </c>
      <c r="C153" s="14">
        <v>0</v>
      </c>
      <c r="D153" s="14">
        <v>0</v>
      </c>
      <c r="E153" s="14">
        <v>385.128</v>
      </c>
      <c r="F153" s="14">
        <v>606.384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24" customHeight="1">
      <c r="A154" s="26" t="s">
        <v>8</v>
      </c>
      <c r="B154" s="6">
        <v>773.22</v>
      </c>
      <c r="C154" s="9"/>
      <c r="D154" s="9"/>
      <c r="E154" s="9">
        <v>272.42</v>
      </c>
      <c r="F154" s="10">
        <v>500.8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26.25" customHeight="1">
      <c r="A155" s="26" t="s">
        <v>39</v>
      </c>
      <c r="B155" s="6">
        <v>206.205</v>
      </c>
      <c r="C155" s="9"/>
      <c r="D155" s="9"/>
      <c r="E155" s="9">
        <v>100.621</v>
      </c>
      <c r="F155" s="10">
        <v>105.584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24.75" customHeight="1">
      <c r="A156" s="26" t="s">
        <v>9</v>
      </c>
      <c r="B156" s="6">
        <v>12.087</v>
      </c>
      <c r="C156" s="9"/>
      <c r="D156" s="9"/>
      <c r="E156" s="9">
        <v>12.087</v>
      </c>
      <c r="F156" s="10">
        <v>0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26.25" customHeight="1">
      <c r="A157" s="65" t="s">
        <v>17</v>
      </c>
      <c r="B157" s="6">
        <v>6046.216</v>
      </c>
      <c r="C157" s="14">
        <v>0</v>
      </c>
      <c r="D157" s="14">
        <v>0</v>
      </c>
      <c r="E157" s="14">
        <v>1501.6370000000002</v>
      </c>
      <c r="F157" s="15">
        <v>4544.579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20.25" customHeight="1">
      <c r="A158" s="26" t="s">
        <v>10</v>
      </c>
      <c r="B158" s="6">
        <v>2798.905</v>
      </c>
      <c r="C158" s="6"/>
      <c r="D158" s="6"/>
      <c r="E158" s="14">
        <v>1457.515</v>
      </c>
      <c r="F158" s="15">
        <v>1341.39</v>
      </c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26.25" customHeight="1">
      <c r="A159" s="26" t="s">
        <v>7</v>
      </c>
      <c r="B159" s="5">
        <v>3247.3109999999997</v>
      </c>
      <c r="C159" s="14">
        <v>0</v>
      </c>
      <c r="D159" s="14">
        <v>0</v>
      </c>
      <c r="E159" s="14">
        <v>44.122</v>
      </c>
      <c r="F159" s="14">
        <v>3203.189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24.75" customHeight="1">
      <c r="A160" s="26" t="s">
        <v>8</v>
      </c>
      <c r="B160" s="6">
        <v>311.767</v>
      </c>
      <c r="C160" s="8"/>
      <c r="D160" s="6"/>
      <c r="E160" s="9">
        <v>16.548</v>
      </c>
      <c r="F160" s="10">
        <v>295.219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24.75" customHeight="1">
      <c r="A161" s="26" t="s">
        <v>39</v>
      </c>
      <c r="B161" s="6">
        <v>0</v>
      </c>
      <c r="C161" s="9"/>
      <c r="D161" s="9"/>
      <c r="E161" s="9"/>
      <c r="F161" s="10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24.75" customHeight="1" thickBot="1">
      <c r="A162" s="25" t="s">
        <v>9</v>
      </c>
      <c r="B162" s="16">
        <v>2935.544</v>
      </c>
      <c r="C162" s="17"/>
      <c r="D162" s="16"/>
      <c r="E162" s="19">
        <v>27.574</v>
      </c>
      <c r="F162" s="28">
        <v>2907.97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 thickBot="1">
      <c r="A163" s="109" t="s">
        <v>10</v>
      </c>
      <c r="B163" s="76">
        <v>79747.609</v>
      </c>
      <c r="C163" s="99">
        <v>36726.622</v>
      </c>
      <c r="D163" s="99">
        <v>1678.763</v>
      </c>
      <c r="E163" s="99">
        <v>26184.666800000003</v>
      </c>
      <c r="F163" s="77">
        <v>15157.557199999996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33" t="s">
        <v>40</v>
      </c>
      <c r="B164" s="43">
        <v>64219.886000000006</v>
      </c>
      <c r="C164" s="67">
        <v>25081.222000000005</v>
      </c>
      <c r="D164" s="67">
        <v>1230.98</v>
      </c>
      <c r="E164" s="67">
        <v>22856.954800000003</v>
      </c>
      <c r="F164" s="68">
        <v>15050.729199999996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33" t="s">
        <v>42</v>
      </c>
      <c r="B165" s="5">
        <v>14425.84</v>
      </c>
      <c r="C165" s="14">
        <v>10543.517</v>
      </c>
      <c r="D165" s="14">
        <v>447.783</v>
      </c>
      <c r="E165" s="14">
        <v>3327.712</v>
      </c>
      <c r="F165" s="15">
        <v>106.828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33" t="s">
        <v>41</v>
      </c>
      <c r="B166" s="5">
        <v>22.624000000000002</v>
      </c>
      <c r="C166" s="14">
        <v>16.776</v>
      </c>
      <c r="D166" s="14">
        <v>1.286</v>
      </c>
      <c r="E166" s="14">
        <v>4.392</v>
      </c>
      <c r="F166" s="15">
        <v>0.17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26" t="s">
        <v>45</v>
      </c>
      <c r="B167" s="5">
        <v>3861.482</v>
      </c>
      <c r="C167" s="14">
        <v>3861.482</v>
      </c>
      <c r="D167" s="14">
        <v>0</v>
      </c>
      <c r="E167" s="14">
        <v>0</v>
      </c>
      <c r="F167" s="15"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>
      <c r="A168" s="33" t="s">
        <v>46</v>
      </c>
      <c r="B168" s="5">
        <v>7.841</v>
      </c>
      <c r="C168" s="14">
        <v>7.841</v>
      </c>
      <c r="D168" s="14">
        <v>0</v>
      </c>
      <c r="E168" s="14">
        <v>0</v>
      </c>
      <c r="F168" s="15"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>
      <c r="A169" s="100" t="s">
        <v>22</v>
      </c>
      <c r="B169" s="5">
        <v>1101.883</v>
      </c>
      <c r="C169" s="14">
        <v>1101.883</v>
      </c>
      <c r="D169" s="14"/>
      <c r="E169" s="14"/>
      <c r="F169" s="15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 thickBot="1">
      <c r="A170" s="101" t="s">
        <v>23</v>
      </c>
      <c r="B170" s="31">
        <v>2.586</v>
      </c>
      <c r="C170" s="122">
        <v>2.586</v>
      </c>
      <c r="D170" s="122"/>
      <c r="E170" s="122"/>
      <c r="F170" s="123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 thickBot="1">
      <c r="A171" s="98" t="s">
        <v>11</v>
      </c>
      <c r="B171" s="78">
        <v>27560</v>
      </c>
      <c r="C171" s="124">
        <v>100.292</v>
      </c>
      <c r="D171" s="124">
        <v>1.54</v>
      </c>
      <c r="E171" s="124">
        <v>1484.991</v>
      </c>
      <c r="F171" s="125">
        <v>25973.177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106" t="s">
        <v>8</v>
      </c>
      <c r="B172" s="107">
        <v>10899.501</v>
      </c>
      <c r="C172" s="126">
        <v>0.07699999999999996</v>
      </c>
      <c r="D172" s="126">
        <v>0</v>
      </c>
      <c r="E172" s="126">
        <v>861.0429999999999</v>
      </c>
      <c r="F172" s="127">
        <v>10038.381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08" t="s">
        <v>39</v>
      </c>
      <c r="B173" s="5">
        <v>415.594</v>
      </c>
      <c r="C173" s="14">
        <v>0</v>
      </c>
      <c r="D173" s="14">
        <v>0</v>
      </c>
      <c r="E173" s="14">
        <v>111.101</v>
      </c>
      <c r="F173" s="15">
        <v>304.493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 thickBot="1">
      <c r="A174" s="109" t="s">
        <v>9</v>
      </c>
      <c r="B174" s="31">
        <v>16244.905</v>
      </c>
      <c r="C174" s="122">
        <v>100.215</v>
      </c>
      <c r="D174" s="122">
        <v>1.54</v>
      </c>
      <c r="E174" s="122">
        <v>512.847</v>
      </c>
      <c r="F174" s="123">
        <v>15630.303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4" thickBot="1">
      <c r="A175" s="110" t="s">
        <v>28</v>
      </c>
      <c r="B175" s="50">
        <v>33.051</v>
      </c>
      <c r="C175" s="129">
        <v>27.203</v>
      </c>
      <c r="D175" s="129">
        <v>1.286</v>
      </c>
      <c r="E175" s="129">
        <v>4.392</v>
      </c>
      <c r="F175" s="130">
        <v>0.17</v>
      </c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>
      <c r="A176" s="113" t="s">
        <v>29</v>
      </c>
      <c r="B176" s="43">
        <v>30.465</v>
      </c>
      <c r="C176" s="67">
        <v>24.617</v>
      </c>
      <c r="D176" s="67">
        <v>1.286</v>
      </c>
      <c r="E176" s="67">
        <v>4.392</v>
      </c>
      <c r="F176" s="68">
        <v>0.17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114" t="s">
        <v>37</v>
      </c>
      <c r="B177" s="31">
        <v>2.586</v>
      </c>
      <c r="C177" s="122">
        <v>2.586</v>
      </c>
      <c r="D177" s="122">
        <v>0</v>
      </c>
      <c r="E177" s="122">
        <v>0</v>
      </c>
      <c r="F177" s="123">
        <v>0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 thickBot="1">
      <c r="A178" s="183"/>
      <c r="B178" s="73"/>
      <c r="C178" s="73"/>
      <c r="D178" s="73"/>
      <c r="E178" s="73"/>
      <c r="F178" s="73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4" thickBot="1">
      <c r="A179" s="49" t="s">
        <v>51</v>
      </c>
      <c r="B179" s="50">
        <v>69206.46900000001</v>
      </c>
      <c r="C179" s="51">
        <v>21557.469000000005</v>
      </c>
      <c r="D179" s="51">
        <v>1680.3029999999999</v>
      </c>
      <c r="E179" s="51">
        <v>18343.301000000003</v>
      </c>
      <c r="F179" s="51">
        <v>27625.396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49" t="s">
        <v>53</v>
      </c>
      <c r="B180" s="50">
        <v>3861.482</v>
      </c>
      <c r="C180" s="77">
        <v>3861.482</v>
      </c>
      <c r="D180" s="77">
        <v>0</v>
      </c>
      <c r="E180" s="77">
        <v>0</v>
      </c>
      <c r="F180" s="77">
        <v>0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49" t="s">
        <v>52</v>
      </c>
      <c r="B181" s="50">
        <v>38101.14</v>
      </c>
      <c r="C181" s="77">
        <v>15269.445000000003</v>
      </c>
      <c r="D181" s="77">
        <v>0</v>
      </c>
      <c r="E181" s="77">
        <v>9326.356800000001</v>
      </c>
      <c r="F181" s="77">
        <v>13505.338199999998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4" thickBot="1">
      <c r="A182" s="183"/>
      <c r="B182" s="115">
        <v>111169.09100000001</v>
      </c>
      <c r="C182" s="50">
        <v>40688.39600000001</v>
      </c>
      <c r="D182" s="50">
        <v>1680.3029999999999</v>
      </c>
      <c r="E182" s="50">
        <v>27669.657800000004</v>
      </c>
      <c r="F182" s="50">
        <v>41130.7342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3.25">
      <c r="A183" s="183"/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183"/>
      <c r="B184" s="73"/>
      <c r="C184" s="73"/>
      <c r="D184" s="73"/>
      <c r="E184" s="73"/>
      <c r="F184" s="73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49" t="s">
        <v>67</v>
      </c>
      <c r="B185" s="50">
        <v>111169.09100000001</v>
      </c>
      <c r="C185" s="51">
        <v>40688.39600000001</v>
      </c>
      <c r="D185" s="51">
        <v>1680.3029999999999</v>
      </c>
      <c r="E185" s="51">
        <v>27669.657800000004</v>
      </c>
      <c r="F185" s="51">
        <v>41130.7342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3.25">
      <c r="A186" s="183"/>
      <c r="B186" s="175"/>
      <c r="C186" s="175"/>
      <c r="D186" s="175"/>
      <c r="E186" s="175"/>
      <c r="F186" s="175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3.25">
      <c r="A187" s="172"/>
      <c r="B187" s="172"/>
      <c r="C187" s="172"/>
      <c r="D187" s="172"/>
      <c r="E187" s="172"/>
      <c r="F187" s="172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3.25">
      <c r="A188" s="172"/>
      <c r="B188" s="172"/>
      <c r="C188" s="172"/>
      <c r="D188" s="172"/>
      <c r="E188" s="172"/>
      <c r="F188" s="172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172"/>
      <c r="B189" s="172"/>
      <c r="C189" s="172"/>
      <c r="D189" s="172"/>
      <c r="E189" s="172"/>
      <c r="F189" s="172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3.25">
      <c r="A190" s="172"/>
      <c r="B190" s="172"/>
      <c r="C190" s="172"/>
      <c r="D190" s="172"/>
      <c r="E190" s="172"/>
      <c r="F190" s="172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3.25">
      <c r="A191" s="172"/>
      <c r="B191" s="172"/>
      <c r="C191" s="172"/>
      <c r="D191" s="172"/>
      <c r="E191" s="172"/>
      <c r="F191" s="172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7" sqref="A167"/>
    </sheetView>
  </sheetViews>
  <sheetFormatPr defaultColWidth="9.00390625" defaultRowHeight="12.75"/>
  <cols>
    <col min="1" max="1" width="67.875" style="170" customWidth="1"/>
    <col min="2" max="6" width="25.25390625" style="170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72</v>
      </c>
      <c r="B2" s="278"/>
      <c r="C2" s="278"/>
      <c r="D2" s="278"/>
      <c r="E2" s="278"/>
      <c r="F2" s="278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79" t="s">
        <v>73</v>
      </c>
      <c r="B4" s="80"/>
      <c r="C4" s="81" t="s">
        <v>0</v>
      </c>
      <c r="D4" s="81" t="s">
        <v>1</v>
      </c>
      <c r="E4" s="81" t="s">
        <v>2</v>
      </c>
      <c r="F4" s="8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83" t="s">
        <v>20</v>
      </c>
      <c r="B5" s="35">
        <f>C5+D5+E5+F5</f>
        <v>58924.26900000001</v>
      </c>
      <c r="C5" s="67">
        <f>C7+C9+C10+C12</f>
        <v>16113.674</v>
      </c>
      <c r="D5" s="67">
        <f>D7+D9+D10+D12</f>
        <v>1092.1119999999999</v>
      </c>
      <c r="E5" s="67">
        <f>E7+E9+E10+E12</f>
        <v>16358.916000000001</v>
      </c>
      <c r="F5" s="68">
        <f>F7+F9+F10+F12</f>
        <v>25359.567000000003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65" t="s">
        <v>27</v>
      </c>
      <c r="B6" s="6">
        <f>C6+D6+E6+F6</f>
        <v>13.575000000000001</v>
      </c>
      <c r="C6" s="14">
        <f>C8+C11</f>
        <v>8.185</v>
      </c>
      <c r="D6" s="14">
        <f>D8+D11</f>
        <v>1.381</v>
      </c>
      <c r="E6" s="14">
        <f>E8+E11</f>
        <v>3.926</v>
      </c>
      <c r="F6" s="15">
        <f>F8+F11</f>
        <v>0.083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65" t="s">
        <v>22</v>
      </c>
      <c r="B7" s="6">
        <f>C7+D7+E7+F7</f>
        <v>982.29</v>
      </c>
      <c r="C7" s="6">
        <v>982.29</v>
      </c>
      <c r="D7" s="14"/>
      <c r="E7" s="14"/>
      <c r="F7" s="15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65" t="s">
        <v>23</v>
      </c>
      <c r="B8" s="6">
        <f>C8+D8+E8+F8</f>
        <v>2.591</v>
      </c>
      <c r="C8" s="14">
        <v>2.591</v>
      </c>
      <c r="D8" s="14"/>
      <c r="E8" s="14"/>
      <c r="F8" s="15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32" t="s">
        <v>24</v>
      </c>
      <c r="B9" s="6">
        <f aca="true" t="shared" si="0" ref="B9:B72">C9+D9+E9+F9</f>
        <v>34408.719</v>
      </c>
      <c r="C9" s="6">
        <f>15784.552-698.414-839.975-295.9+20.246-949.692-1833.952+187.272+83.722-679.108+982.29+C195+C196+C197</f>
        <v>11761.041000000001</v>
      </c>
      <c r="D9" s="6">
        <f>743.626-179.749</f>
        <v>563.877</v>
      </c>
      <c r="E9" s="6">
        <f>13869.974+447.161+394.156-383.546+9.34-6.725-368.742-299.305</f>
        <v>13662.313</v>
      </c>
      <c r="F9" s="7">
        <f>7394.587+1134.756+13.521-9.34-13.521-100.498+17.132-8.508-6.641</f>
        <v>8421.488000000001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32" t="s">
        <v>25</v>
      </c>
      <c r="B10" s="84">
        <f t="shared" si="0"/>
        <v>6217.5289999999995</v>
      </c>
      <c r="C10" s="85">
        <f>4335.536-982.29-C195-C196-C197</f>
        <v>3353.246</v>
      </c>
      <c r="D10" s="84">
        <v>526.805</v>
      </c>
      <c r="E10" s="84">
        <v>2287.332</v>
      </c>
      <c r="F10" s="86">
        <v>50.146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32" t="s">
        <v>26</v>
      </c>
      <c r="B11" s="84">
        <f t="shared" si="0"/>
        <v>10.984</v>
      </c>
      <c r="C11" s="85">
        <f>8.185-C8</f>
        <v>5.594</v>
      </c>
      <c r="D11" s="84">
        <v>1.381</v>
      </c>
      <c r="E11" s="84">
        <v>3.926</v>
      </c>
      <c r="F11" s="86">
        <v>0.083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26" t="s">
        <v>7</v>
      </c>
      <c r="B12" s="6">
        <f t="shared" si="0"/>
        <v>17315.731</v>
      </c>
      <c r="C12" s="14">
        <f>C13+C14+C15</f>
        <v>17.097</v>
      </c>
      <c r="D12" s="14">
        <f>D13+D14+D15</f>
        <v>1.43</v>
      </c>
      <c r="E12" s="14">
        <f>E13+E14+E15</f>
        <v>409.27099999999996</v>
      </c>
      <c r="F12" s="14">
        <f>F13+F14+F15</f>
        <v>16887.933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26" t="s">
        <v>8</v>
      </c>
      <c r="B13" s="6">
        <f t="shared" si="0"/>
        <v>4921.669</v>
      </c>
      <c r="C13" s="9">
        <f>11.802-11.802</f>
        <v>0</v>
      </c>
      <c r="D13" s="9">
        <v>0</v>
      </c>
      <c r="E13" s="9">
        <f>247.034-50</f>
        <v>197.034</v>
      </c>
      <c r="F13" s="10">
        <f>4365.452+527.954-278.771+110</f>
        <v>4724.635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26" t="s">
        <v>39</v>
      </c>
      <c r="B14" s="6">
        <f>C14+D14+E14+F14</f>
        <v>0</v>
      </c>
      <c r="C14" s="9"/>
      <c r="D14" s="9">
        <v>0</v>
      </c>
      <c r="E14" s="9"/>
      <c r="F14" s="187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26" t="s">
        <v>9</v>
      </c>
      <c r="B15" s="6">
        <f t="shared" si="0"/>
        <v>12394.062</v>
      </c>
      <c r="C15" s="9">
        <v>17.097</v>
      </c>
      <c r="D15" s="9">
        <v>1.43</v>
      </c>
      <c r="E15" s="9">
        <f>552.117-339.88</f>
        <v>212.23699999999997</v>
      </c>
      <c r="F15" s="10">
        <f>11277.61+421.017+278.771+185.9</f>
        <v>12163.298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65" t="s">
        <v>43</v>
      </c>
      <c r="B16" s="6">
        <f t="shared" si="0"/>
        <v>3135.986</v>
      </c>
      <c r="C16" s="14">
        <f>C17+C19</f>
        <v>3135.986</v>
      </c>
      <c r="D16" s="14">
        <f>D17+D19</f>
        <v>0</v>
      </c>
      <c r="E16" s="14">
        <f>E17+E19</f>
        <v>0</v>
      </c>
      <c r="F16" s="15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26" t="s">
        <v>10</v>
      </c>
      <c r="B17" s="47">
        <f t="shared" si="0"/>
        <v>3135.986</v>
      </c>
      <c r="C17" s="47">
        <v>3135.986</v>
      </c>
      <c r="D17" s="8"/>
      <c r="E17" s="8"/>
      <c r="F17" s="13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32" t="s">
        <v>44</v>
      </c>
      <c r="B18" s="72">
        <f t="shared" si="0"/>
        <v>6.085</v>
      </c>
      <c r="C18" s="47">
        <v>6.085</v>
      </c>
      <c r="D18" s="190"/>
      <c r="E18" s="190"/>
      <c r="F18" s="191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26" t="s">
        <v>7</v>
      </c>
      <c r="B19" s="6">
        <f t="shared" si="0"/>
        <v>0</v>
      </c>
      <c r="C19" s="14">
        <f>C20+C21+C22</f>
        <v>0</v>
      </c>
      <c r="D19" s="14">
        <f>D20+D21+D22</f>
        <v>0</v>
      </c>
      <c r="E19" s="14">
        <f>E20+E21+E22</f>
        <v>0</v>
      </c>
      <c r="F19" s="14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26" t="s">
        <v>8</v>
      </c>
      <c r="B20" s="6">
        <f t="shared" si="0"/>
        <v>0</v>
      </c>
      <c r="C20" s="188"/>
      <c r="D20" s="188"/>
      <c r="E20" s="188"/>
      <c r="F20" s="189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26" t="s">
        <v>39</v>
      </c>
      <c r="B21" s="6">
        <f>C21+D21+E21+F21</f>
        <v>0</v>
      </c>
      <c r="C21" s="9"/>
      <c r="D21" s="9">
        <v>0</v>
      </c>
      <c r="E21" s="9"/>
      <c r="F21" s="187"/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26" t="s">
        <v>9</v>
      </c>
      <c r="B22" s="6">
        <f t="shared" si="0"/>
        <v>0</v>
      </c>
      <c r="C22" s="8"/>
      <c r="D22" s="8"/>
      <c r="E22" s="8"/>
      <c r="F22" s="13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65" t="s">
        <v>19</v>
      </c>
      <c r="B23" s="6">
        <f t="shared" si="0"/>
        <v>4861.9529999999995</v>
      </c>
      <c r="C23" s="14">
        <f>C24+C25</f>
        <v>607.913</v>
      </c>
      <c r="D23" s="14"/>
      <c r="E23" s="14">
        <f>E24+E25</f>
        <v>1621.9089999999999</v>
      </c>
      <c r="F23" s="15">
        <f>F24+F25</f>
        <v>2632.131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26" t="s">
        <v>10</v>
      </c>
      <c r="B24" s="6">
        <f t="shared" si="0"/>
        <v>2926.252</v>
      </c>
      <c r="C24" s="6">
        <v>543.788</v>
      </c>
      <c r="D24" s="6"/>
      <c r="E24" s="6">
        <v>1412.165</v>
      </c>
      <c r="F24" s="7">
        <v>970.299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26" t="s">
        <v>7</v>
      </c>
      <c r="B25" s="6">
        <f t="shared" si="0"/>
        <v>1935.7009999999998</v>
      </c>
      <c r="C25" s="14">
        <f>C26+C27+C28</f>
        <v>64.125</v>
      </c>
      <c r="D25" s="14">
        <f>D26+D27+D28</f>
        <v>0</v>
      </c>
      <c r="E25" s="14">
        <f>E26+E27+E28</f>
        <v>209.74399999999997</v>
      </c>
      <c r="F25" s="14">
        <f>F26+F27+F28</f>
        <v>1661.8319999999999</v>
      </c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26" t="s">
        <v>8</v>
      </c>
      <c r="B26" s="6">
        <f t="shared" si="0"/>
        <v>1217.963</v>
      </c>
      <c r="C26" s="9"/>
      <c r="D26" s="9"/>
      <c r="E26" s="9">
        <v>69.776</v>
      </c>
      <c r="F26" s="10">
        <v>1148.187</v>
      </c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26" t="s">
        <v>39</v>
      </c>
      <c r="B27" s="6">
        <f>C27+D27+E27+F27</f>
        <v>0</v>
      </c>
      <c r="C27" s="9"/>
      <c r="D27" s="9">
        <v>0</v>
      </c>
      <c r="E27" s="9"/>
      <c r="F27" s="187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26" t="s">
        <v>9</v>
      </c>
      <c r="B28" s="6">
        <f t="shared" si="0"/>
        <v>717.7379999999999</v>
      </c>
      <c r="C28" s="9">
        <f>78.222-14.097</f>
        <v>64.125</v>
      </c>
      <c r="D28" s="9"/>
      <c r="E28" s="9">
        <f>214.968-75</f>
        <v>139.968</v>
      </c>
      <c r="F28" s="10">
        <v>513.645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65" t="s">
        <v>55</v>
      </c>
      <c r="B29" s="6">
        <f t="shared" si="0"/>
        <v>1082.012</v>
      </c>
      <c r="C29" s="14">
        <f>C30+C31</f>
        <v>1082.012</v>
      </c>
      <c r="D29" s="6"/>
      <c r="E29" s="6"/>
      <c r="F29" s="7"/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26" t="s">
        <v>10</v>
      </c>
      <c r="B30" s="6">
        <f t="shared" si="0"/>
        <v>1081.796</v>
      </c>
      <c r="C30" s="6">
        <v>1081.796</v>
      </c>
      <c r="D30" s="6"/>
      <c r="E30" s="14"/>
      <c r="F30" s="15"/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26" t="s">
        <v>7</v>
      </c>
      <c r="B31" s="6">
        <f t="shared" si="0"/>
        <v>0.21599999999999997</v>
      </c>
      <c r="C31" s="14">
        <f>C32+C33+C34</f>
        <v>0.21599999999999997</v>
      </c>
      <c r="D31" s="14">
        <f>D32+D33+D34</f>
        <v>0</v>
      </c>
      <c r="E31" s="14">
        <f>E32+E33+E34</f>
        <v>0</v>
      </c>
      <c r="F31" s="14">
        <f>F32+F33+F34</f>
        <v>0</v>
      </c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26" t="s">
        <v>8</v>
      </c>
      <c r="B32" s="6">
        <f t="shared" si="0"/>
        <v>0.21599999999999997</v>
      </c>
      <c r="C32" s="9">
        <f>2.19-1.974</f>
        <v>0.21599999999999997</v>
      </c>
      <c r="D32" s="9"/>
      <c r="E32" s="9"/>
      <c r="F32" s="10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26" t="s">
        <v>39</v>
      </c>
      <c r="B33" s="6">
        <f>C33+D33+E33+F33</f>
        <v>0</v>
      </c>
      <c r="C33" s="9"/>
      <c r="D33" s="9">
        <v>0</v>
      </c>
      <c r="E33" s="9"/>
      <c r="F33" s="187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26" t="s">
        <v>9</v>
      </c>
      <c r="B34" s="6">
        <f t="shared" si="0"/>
        <v>0</v>
      </c>
      <c r="C34" s="9"/>
      <c r="D34" s="9"/>
      <c r="E34" s="9"/>
      <c r="F34" s="10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65" t="s">
        <v>61</v>
      </c>
      <c r="B35" s="6">
        <f t="shared" si="0"/>
        <v>0</v>
      </c>
      <c r="C35" s="14">
        <f>C36+C37</f>
        <v>0</v>
      </c>
      <c r="D35" s="14">
        <f>D36+D37</f>
        <v>0</v>
      </c>
      <c r="E35" s="14">
        <f>E36+E37</f>
        <v>0</v>
      </c>
      <c r="F35" s="15">
        <f>F36+F37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26" t="s">
        <v>10</v>
      </c>
      <c r="B36" s="6">
        <f t="shared" si="0"/>
        <v>0</v>
      </c>
      <c r="C36" s="6"/>
      <c r="D36" s="6"/>
      <c r="E36" s="6"/>
      <c r="F36" s="7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26" t="s">
        <v>7</v>
      </c>
      <c r="B37" s="6">
        <f t="shared" si="0"/>
        <v>0</v>
      </c>
      <c r="C37" s="14">
        <f>C38+C39+C40</f>
        <v>0</v>
      </c>
      <c r="D37" s="14">
        <f>D38+D39+D40</f>
        <v>0</v>
      </c>
      <c r="E37" s="14">
        <f>E38+E39+E40</f>
        <v>0</v>
      </c>
      <c r="F37" s="14">
        <f>F38+F39+F40</f>
        <v>0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26" t="s">
        <v>8</v>
      </c>
      <c r="B38" s="6">
        <f t="shared" si="0"/>
        <v>0</v>
      </c>
      <c r="C38" s="9"/>
      <c r="D38" s="9"/>
      <c r="E38" s="9"/>
      <c r="F38" s="10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26" t="s">
        <v>39</v>
      </c>
      <c r="B39" s="6">
        <f>C39+D39+E39+F39</f>
        <v>0</v>
      </c>
      <c r="C39" s="9"/>
      <c r="D39" s="9">
        <v>0</v>
      </c>
      <c r="E39" s="9"/>
      <c r="F39" s="187"/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26" t="s">
        <v>9</v>
      </c>
      <c r="B40" s="6">
        <f t="shared" si="0"/>
        <v>0</v>
      </c>
      <c r="C40" s="9"/>
      <c r="D40" s="9"/>
      <c r="E40" s="9"/>
      <c r="F40" s="10"/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65" t="s">
        <v>47</v>
      </c>
      <c r="B41" s="6">
        <f t="shared" si="0"/>
        <v>11303.284</v>
      </c>
      <c r="C41" s="14">
        <f>C42+C43+C45</f>
        <v>6342.189</v>
      </c>
      <c r="D41" s="14"/>
      <c r="E41" s="14">
        <f>E42+E45</f>
        <v>1833.01</v>
      </c>
      <c r="F41" s="15">
        <f>F42+F45</f>
        <v>3128.085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32" t="s">
        <v>21</v>
      </c>
      <c r="B42" s="6">
        <f t="shared" si="0"/>
        <v>3912.4260000000004</v>
      </c>
      <c r="C42" s="6">
        <f>6342.189-C43</f>
        <v>1343.4590000000007</v>
      </c>
      <c r="D42" s="6"/>
      <c r="E42" s="14">
        <v>1769.414</v>
      </c>
      <c r="F42" s="15">
        <v>799.553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89" t="s">
        <v>36</v>
      </c>
      <c r="B43" s="6">
        <f t="shared" si="0"/>
        <v>4998.73</v>
      </c>
      <c r="C43" s="6">
        <v>4998.73</v>
      </c>
      <c r="D43" s="6"/>
      <c r="E43" s="6"/>
      <c r="F43" s="7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32" t="s">
        <v>26</v>
      </c>
      <c r="B44" s="84">
        <f t="shared" si="0"/>
        <v>7.087</v>
      </c>
      <c r="C44" s="85">
        <v>7.087</v>
      </c>
      <c r="D44" s="84"/>
      <c r="E44" s="84"/>
      <c r="F44" s="3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26" t="s">
        <v>7</v>
      </c>
      <c r="B45" s="6">
        <f t="shared" si="0"/>
        <v>2392.128</v>
      </c>
      <c r="C45" s="14">
        <f>C46+C47+C48</f>
        <v>0</v>
      </c>
      <c r="D45" s="14">
        <f>D46+D47+D48</f>
        <v>0</v>
      </c>
      <c r="E45" s="14">
        <f>E46+E47+E48</f>
        <v>63.596</v>
      </c>
      <c r="F45" s="14">
        <f>F46+F47+F48</f>
        <v>2328.532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26" t="s">
        <v>8</v>
      </c>
      <c r="B46" s="6">
        <f t="shared" si="0"/>
        <v>2268.482</v>
      </c>
      <c r="C46" s="9"/>
      <c r="D46" s="9"/>
      <c r="E46" s="9">
        <v>63.596</v>
      </c>
      <c r="F46" s="10">
        <v>2204.886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26" t="s">
        <v>39</v>
      </c>
      <c r="B47" s="6">
        <f>C47+D47+E47+F47</f>
        <v>95.465</v>
      </c>
      <c r="C47" s="9"/>
      <c r="D47" s="9"/>
      <c r="E47" s="9"/>
      <c r="F47" s="10">
        <f>20.349+75.116</f>
        <v>95.465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26" t="s">
        <v>9</v>
      </c>
      <c r="B48" s="6">
        <f t="shared" si="0"/>
        <v>28.181</v>
      </c>
      <c r="C48" s="9"/>
      <c r="D48" s="9"/>
      <c r="E48" s="9"/>
      <c r="F48" s="10">
        <v>28.181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65" t="s">
        <v>60</v>
      </c>
      <c r="B49" s="6">
        <f t="shared" si="0"/>
        <v>76.643</v>
      </c>
      <c r="C49" s="14"/>
      <c r="D49" s="14"/>
      <c r="E49" s="14">
        <f>E50+E51</f>
        <v>37.531</v>
      </c>
      <c r="F49" s="15">
        <f>F50+F51</f>
        <v>39.111999999999995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26" t="s">
        <v>10</v>
      </c>
      <c r="B50" s="6">
        <f t="shared" si="0"/>
        <v>55.721999999999994</v>
      </c>
      <c r="C50" s="6"/>
      <c r="D50" s="6"/>
      <c r="E50" s="14">
        <v>37.531</v>
      </c>
      <c r="F50" s="15">
        <v>18.191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26" t="s">
        <v>7</v>
      </c>
      <c r="B51" s="6">
        <f t="shared" si="0"/>
        <v>20.921</v>
      </c>
      <c r="C51" s="14">
        <f>C52+C53+C54</f>
        <v>0</v>
      </c>
      <c r="D51" s="14">
        <f>D52+D53+D54</f>
        <v>0</v>
      </c>
      <c r="E51" s="14">
        <f>E52+E53+E54</f>
        <v>0</v>
      </c>
      <c r="F51" s="14">
        <f>F52+F53+F54</f>
        <v>20.921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26" t="s">
        <v>8</v>
      </c>
      <c r="B52" s="6">
        <f t="shared" si="0"/>
        <v>16.344</v>
      </c>
      <c r="C52" s="9"/>
      <c r="D52" s="9"/>
      <c r="E52" s="9"/>
      <c r="F52" s="10">
        <v>16.344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26" t="s">
        <v>39</v>
      </c>
      <c r="B53" s="6">
        <f>C53+D53+E53+F53</f>
        <v>0</v>
      </c>
      <c r="C53" s="9"/>
      <c r="D53" s="9">
        <v>0</v>
      </c>
      <c r="E53" s="9"/>
      <c r="F53" s="187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26" t="s">
        <v>9</v>
      </c>
      <c r="B54" s="6">
        <f t="shared" si="0"/>
        <v>4.577</v>
      </c>
      <c r="C54" s="9"/>
      <c r="D54" s="9"/>
      <c r="E54" s="9"/>
      <c r="F54" s="10">
        <v>4.577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65" t="s">
        <v>59</v>
      </c>
      <c r="B55" s="6">
        <f t="shared" si="0"/>
        <v>0.348</v>
      </c>
      <c r="C55" s="14">
        <f>C56+C57</f>
        <v>0</v>
      </c>
      <c r="D55" s="14"/>
      <c r="E55" s="14">
        <f>E56+E57</f>
        <v>0</v>
      </c>
      <c r="F55" s="15">
        <f>F56+F57</f>
        <v>0.348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26" t="s">
        <v>10</v>
      </c>
      <c r="B56" s="6">
        <f t="shared" si="0"/>
        <v>0.348</v>
      </c>
      <c r="C56" s="6"/>
      <c r="D56" s="6"/>
      <c r="E56" s="6"/>
      <c r="F56" s="7">
        <v>0.348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26" t="s">
        <v>7</v>
      </c>
      <c r="B57" s="6">
        <f t="shared" si="0"/>
        <v>0</v>
      </c>
      <c r="C57" s="14">
        <f>C58+C60</f>
        <v>0</v>
      </c>
      <c r="D57" s="6"/>
      <c r="E57" s="14"/>
      <c r="F57" s="15">
        <f>F58+F60</f>
        <v>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26" t="s">
        <v>8</v>
      </c>
      <c r="B58" s="6">
        <f t="shared" si="0"/>
        <v>0</v>
      </c>
      <c r="C58" s="14"/>
      <c r="D58" s="14"/>
      <c r="E58" s="14"/>
      <c r="F58" s="10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26" t="s">
        <v>39</v>
      </c>
      <c r="B59" s="6">
        <f>C59+D59+E59+F59</f>
        <v>0</v>
      </c>
      <c r="C59" s="9"/>
      <c r="D59" s="9">
        <v>0</v>
      </c>
      <c r="E59" s="9"/>
      <c r="F59" s="187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26" t="s">
        <v>9</v>
      </c>
      <c r="B60" s="6">
        <f t="shared" si="0"/>
        <v>0</v>
      </c>
      <c r="C60" s="14"/>
      <c r="D60" s="14"/>
      <c r="E60" s="14"/>
      <c r="F60" s="10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65" t="s">
        <v>48</v>
      </c>
      <c r="B61" s="6">
        <f t="shared" si="0"/>
        <v>1941.4379999999999</v>
      </c>
      <c r="C61" s="14">
        <f>C62+C63</f>
        <v>1885.867</v>
      </c>
      <c r="D61" s="14"/>
      <c r="E61" s="14">
        <f>E62+E63</f>
        <v>55.571</v>
      </c>
      <c r="F61" s="1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26" t="s">
        <v>10</v>
      </c>
      <c r="B62" s="6">
        <f t="shared" si="0"/>
        <v>1941.4379999999999</v>
      </c>
      <c r="C62" s="6">
        <v>1885.867</v>
      </c>
      <c r="D62" s="6"/>
      <c r="E62" s="6">
        <v>55.571</v>
      </c>
      <c r="F62" s="7"/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26" t="s">
        <v>7</v>
      </c>
      <c r="B63" s="6">
        <f t="shared" si="0"/>
        <v>0</v>
      </c>
      <c r="C63" s="14">
        <f>C64+C65+C66</f>
        <v>0</v>
      </c>
      <c r="D63" s="14">
        <f>D64+D65+D66</f>
        <v>0</v>
      </c>
      <c r="E63" s="14">
        <f>E64+E65+E66</f>
        <v>0</v>
      </c>
      <c r="F63" s="14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26" t="s">
        <v>8</v>
      </c>
      <c r="B64" s="6">
        <f t="shared" si="0"/>
        <v>0</v>
      </c>
      <c r="C64" s="14"/>
      <c r="D64" s="14"/>
      <c r="E64" s="14"/>
      <c r="F64" s="10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26" t="s">
        <v>39</v>
      </c>
      <c r="B65" s="6">
        <f>C65+D65+E65+F65</f>
        <v>0</v>
      </c>
      <c r="C65" s="9"/>
      <c r="D65" s="9">
        <v>0</v>
      </c>
      <c r="E65" s="9"/>
      <c r="F65" s="187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26" t="s">
        <v>9</v>
      </c>
      <c r="B66" s="6">
        <f t="shared" si="0"/>
        <v>0</v>
      </c>
      <c r="C66" s="14"/>
      <c r="D66" s="14"/>
      <c r="E66" s="14"/>
      <c r="F66" s="1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92" t="s">
        <v>16</v>
      </c>
      <c r="B67" s="6">
        <f t="shared" si="0"/>
        <v>584.0609999999999</v>
      </c>
      <c r="C67" s="8"/>
      <c r="D67" s="6"/>
      <c r="E67" s="6">
        <f>E68+E69</f>
        <v>448.76</v>
      </c>
      <c r="F67" s="7">
        <f>F68+F69</f>
        <v>135.301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26" t="s">
        <v>10</v>
      </c>
      <c r="B68" s="6">
        <f t="shared" si="0"/>
        <v>584.0609999999999</v>
      </c>
      <c r="C68" s="6"/>
      <c r="D68" s="6"/>
      <c r="E68" s="14">
        <v>448.76</v>
      </c>
      <c r="F68" s="15">
        <v>135.301</v>
      </c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6" t="s">
        <v>7</v>
      </c>
      <c r="B69" s="6">
        <f t="shared" si="0"/>
        <v>0</v>
      </c>
      <c r="C69" s="14">
        <f>C70+C71+C72</f>
        <v>0</v>
      </c>
      <c r="D69" s="14">
        <f>D70+D71+D72</f>
        <v>0</v>
      </c>
      <c r="E69" s="14">
        <f>E70+E71+E72</f>
        <v>0</v>
      </c>
      <c r="F69" s="14">
        <f>F70+F71+F72</f>
        <v>0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26" t="s">
        <v>8</v>
      </c>
      <c r="B70" s="6">
        <f t="shared" si="0"/>
        <v>0</v>
      </c>
      <c r="C70" s="8"/>
      <c r="D70" s="6"/>
      <c r="E70" s="8"/>
      <c r="F70" s="1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26" t="s">
        <v>39</v>
      </c>
      <c r="B71" s="6">
        <f>C71+D71+E71+F71</f>
        <v>0</v>
      </c>
      <c r="C71" s="9"/>
      <c r="D71" s="9">
        <v>0</v>
      </c>
      <c r="E71" s="9"/>
      <c r="F71" s="187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26" t="s">
        <v>9</v>
      </c>
      <c r="B72" s="6">
        <f t="shared" si="0"/>
        <v>0</v>
      </c>
      <c r="C72" s="8"/>
      <c r="D72" s="6"/>
      <c r="E72" s="8"/>
      <c r="F72" s="1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92" t="s">
        <v>4</v>
      </c>
      <c r="B73" s="6">
        <f aca="true" t="shared" si="1" ref="B73:B136">C73+D73+E73+F73</f>
        <v>779.456</v>
      </c>
      <c r="C73" s="6">
        <f>C74+C75+C81</f>
        <v>779.456</v>
      </c>
      <c r="D73" s="6"/>
      <c r="E73" s="6"/>
      <c r="F73" s="7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32" t="s">
        <v>21</v>
      </c>
      <c r="B74" s="6">
        <f t="shared" si="1"/>
        <v>335.563</v>
      </c>
      <c r="C74" s="14">
        <f>779.456-C75</f>
        <v>335.563</v>
      </c>
      <c r="D74" s="6"/>
      <c r="E74" s="14"/>
      <c r="F74" s="1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89" t="s">
        <v>30</v>
      </c>
      <c r="B75" s="47">
        <f t="shared" si="1"/>
        <v>443.89300000000003</v>
      </c>
      <c r="C75" s="52">
        <f>C77+C79</f>
        <v>443.89300000000003</v>
      </c>
      <c r="D75" s="118"/>
      <c r="E75" s="118"/>
      <c r="F75" s="1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32" t="s">
        <v>31</v>
      </c>
      <c r="B76" s="72">
        <f t="shared" si="1"/>
        <v>0.6739999999999999</v>
      </c>
      <c r="C76" s="52">
        <f>C78+C80</f>
        <v>0.6739999999999999</v>
      </c>
      <c r="D76" s="118"/>
      <c r="E76" s="118"/>
      <c r="F76" s="1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66" t="s">
        <v>32</v>
      </c>
      <c r="B77" s="41">
        <f t="shared" si="1"/>
        <v>247.352</v>
      </c>
      <c r="C77" s="139">
        <v>247.352</v>
      </c>
      <c r="D77" s="40"/>
      <c r="E77" s="40"/>
      <c r="F77" s="1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66" t="s">
        <v>33</v>
      </c>
      <c r="B78" s="41">
        <f>C78+D78+E78+F78</f>
        <v>0.358</v>
      </c>
      <c r="C78" s="139">
        <v>0.358</v>
      </c>
      <c r="D78" s="41"/>
      <c r="E78" s="41"/>
      <c r="F78" s="1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66" t="s">
        <v>34</v>
      </c>
      <c r="B79" s="41">
        <f t="shared" si="1"/>
        <v>196.541</v>
      </c>
      <c r="C79" s="139">
        <v>196.541</v>
      </c>
      <c r="D79" s="40"/>
      <c r="E79" s="40"/>
      <c r="F79" s="1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66" t="s">
        <v>35</v>
      </c>
      <c r="B80" s="41">
        <f>C80+D80+E80+F80</f>
        <v>0.316</v>
      </c>
      <c r="C80" s="139">
        <v>0.316</v>
      </c>
      <c r="D80" s="41"/>
      <c r="E80" s="41"/>
      <c r="F80" s="15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26" t="s">
        <v>7</v>
      </c>
      <c r="B81" s="6">
        <f t="shared" si="1"/>
        <v>0</v>
      </c>
      <c r="C81" s="14">
        <f>C82+C83+C84</f>
        <v>0</v>
      </c>
      <c r="D81" s="14">
        <f>D82+D83+D84</f>
        <v>0</v>
      </c>
      <c r="E81" s="14">
        <f>E82+E83+E84</f>
        <v>0</v>
      </c>
      <c r="F81" s="14">
        <f>F82+F83+F84</f>
        <v>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26" t="s">
        <v>8</v>
      </c>
      <c r="B82" s="6">
        <f t="shared" si="1"/>
        <v>0</v>
      </c>
      <c r="C82" s="9"/>
      <c r="D82" s="6"/>
      <c r="E82" s="6"/>
      <c r="F82" s="7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6" t="s">
        <v>39</v>
      </c>
      <c r="B83" s="6">
        <f>C83+D83+E83+F83</f>
        <v>0</v>
      </c>
      <c r="C83" s="9"/>
      <c r="D83" s="9">
        <v>0</v>
      </c>
      <c r="E83" s="9"/>
      <c r="F83" s="187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26" t="s">
        <v>9</v>
      </c>
      <c r="B84" s="6">
        <f t="shared" si="1"/>
        <v>0</v>
      </c>
      <c r="C84" s="9"/>
      <c r="D84" s="6"/>
      <c r="E84" s="6"/>
      <c r="F84" s="7"/>
      <c r="G84" s="120"/>
      <c r="H84" s="120"/>
    </row>
    <row r="85" spans="1:8" s="30" customFormat="1" ht="32.25" customHeight="1">
      <c r="A85" s="65" t="s">
        <v>58</v>
      </c>
      <c r="B85" s="6">
        <f t="shared" si="1"/>
        <v>1614.1837999999998</v>
      </c>
      <c r="C85" s="14">
        <f>C86+C87</f>
        <v>995.308</v>
      </c>
      <c r="D85" s="14">
        <f>D86+D89</f>
        <v>0</v>
      </c>
      <c r="E85" s="14">
        <f>E86+E89</f>
        <v>240.38979999999998</v>
      </c>
      <c r="F85" s="15">
        <f>F86+F89</f>
        <v>378.486</v>
      </c>
      <c r="G85" s="120"/>
      <c r="H85" s="120"/>
    </row>
    <row r="86" spans="1:18" s="3" customFormat="1" ht="32.25" customHeight="1">
      <c r="A86" s="26" t="s">
        <v>10</v>
      </c>
      <c r="B86" s="6">
        <f>C86+D86+E86+F86</f>
        <v>471.87979999999993</v>
      </c>
      <c r="C86" s="14">
        <f>995.308-C87</f>
        <v>129.48799999999994</v>
      </c>
      <c r="D86" s="14"/>
      <c r="E86" s="14">
        <f>249.73-9.3402</f>
        <v>240.38979999999998</v>
      </c>
      <c r="F86" s="15">
        <v>102.002</v>
      </c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32" t="s">
        <v>49</v>
      </c>
      <c r="B87" s="6">
        <f>C87+D87+E87+F87</f>
        <v>865.82</v>
      </c>
      <c r="C87" s="14">
        <v>865.82</v>
      </c>
      <c r="D87" s="6"/>
      <c r="E87" s="6"/>
      <c r="F87" s="7"/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32" t="s">
        <v>26</v>
      </c>
      <c r="B88" s="72">
        <f>C88+D88+E88+F88</f>
        <v>1.352</v>
      </c>
      <c r="C88" s="14">
        <v>1.352</v>
      </c>
      <c r="D88" s="84"/>
      <c r="E88" s="84"/>
      <c r="F88" s="39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26" t="s">
        <v>7</v>
      </c>
      <c r="B89" s="6">
        <f t="shared" si="1"/>
        <v>276.484</v>
      </c>
      <c r="C89" s="14">
        <f>C90+C91+C92</f>
        <v>0</v>
      </c>
      <c r="D89" s="14">
        <f>D90+D91+D92</f>
        <v>0</v>
      </c>
      <c r="E89" s="14">
        <f>E90+E91+E92</f>
        <v>0</v>
      </c>
      <c r="F89" s="14">
        <f>F90+F91+F92</f>
        <v>276.484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26" t="s">
        <v>8</v>
      </c>
      <c r="B90" s="6">
        <f t="shared" si="1"/>
        <v>240.606</v>
      </c>
      <c r="C90" s="9"/>
      <c r="D90" s="6"/>
      <c r="E90" s="6"/>
      <c r="F90" s="7">
        <v>240.606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26" t="s">
        <v>39</v>
      </c>
      <c r="B91" s="6">
        <f>C91+D91+E91+F91</f>
        <v>0</v>
      </c>
      <c r="C91" s="9"/>
      <c r="D91" s="9">
        <v>0</v>
      </c>
      <c r="E91" s="9"/>
      <c r="F91" s="18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26" t="s">
        <v>9</v>
      </c>
      <c r="B92" s="6">
        <f t="shared" si="1"/>
        <v>35.878</v>
      </c>
      <c r="C92" s="9"/>
      <c r="D92" s="6"/>
      <c r="E92" s="6"/>
      <c r="F92" s="7">
        <v>35.878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65" t="s">
        <v>15</v>
      </c>
      <c r="B93" s="6">
        <f t="shared" si="1"/>
        <v>2074.81</v>
      </c>
      <c r="C93" s="6">
        <f>C94+C95</f>
        <v>2065.859</v>
      </c>
      <c r="D93" s="6"/>
      <c r="E93" s="6"/>
      <c r="F93" s="7">
        <f>F94+F97</f>
        <v>8.951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26" t="s">
        <v>10</v>
      </c>
      <c r="B94" s="6">
        <f t="shared" si="1"/>
        <v>563.8329999999999</v>
      </c>
      <c r="C94" s="42">
        <f>2065.859-C95</f>
        <v>554.8819999999998</v>
      </c>
      <c r="D94" s="42"/>
      <c r="E94" s="42"/>
      <c r="F94" s="39">
        <v>8.951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32" t="s">
        <v>38</v>
      </c>
      <c r="B95" s="6">
        <f t="shared" si="1"/>
        <v>1510.977</v>
      </c>
      <c r="C95" s="94">
        <v>1510.977</v>
      </c>
      <c r="D95" s="6"/>
      <c r="E95" s="6"/>
      <c r="F95" s="7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32" t="s">
        <v>26</v>
      </c>
      <c r="B96" s="72">
        <f t="shared" si="1"/>
        <v>2.394</v>
      </c>
      <c r="C96" s="94">
        <v>2.394</v>
      </c>
      <c r="D96" s="84"/>
      <c r="E96" s="84"/>
      <c r="F96" s="39"/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26" t="s">
        <v>7</v>
      </c>
      <c r="B97" s="6">
        <f t="shared" si="1"/>
        <v>0</v>
      </c>
      <c r="C97" s="14">
        <f>C98+C99+C100</f>
        <v>0</v>
      </c>
      <c r="D97" s="14">
        <f>D98+D99+D100</f>
        <v>0</v>
      </c>
      <c r="E97" s="14">
        <f>E98+E99+E100</f>
        <v>0</v>
      </c>
      <c r="F97" s="14">
        <f>F98+F99+F100</f>
        <v>0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26" t="s">
        <v>8</v>
      </c>
      <c r="B98" s="6">
        <f t="shared" si="1"/>
        <v>0</v>
      </c>
      <c r="C98" s="9"/>
      <c r="D98" s="6"/>
      <c r="E98" s="8"/>
      <c r="F98" s="1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26" t="s">
        <v>39</v>
      </c>
      <c r="B99" s="6">
        <f>C99+D99+E99+F99</f>
        <v>0</v>
      </c>
      <c r="C99" s="9"/>
      <c r="D99" s="9">
        <v>0</v>
      </c>
      <c r="E99" s="9"/>
      <c r="F99" s="187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26" t="s">
        <v>9</v>
      </c>
      <c r="B100" s="6">
        <f t="shared" si="1"/>
        <v>0</v>
      </c>
      <c r="C100" s="9"/>
      <c r="D100" s="6"/>
      <c r="E100" s="8"/>
      <c r="F100" s="1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65" t="s">
        <v>57</v>
      </c>
      <c r="B101" s="6">
        <f t="shared" si="1"/>
        <v>8.107</v>
      </c>
      <c r="C101" s="6">
        <f>C102+C103</f>
        <v>0</v>
      </c>
      <c r="D101" s="6"/>
      <c r="E101" s="6">
        <f>E102+E103</f>
        <v>8.107</v>
      </c>
      <c r="F101" s="7">
        <f>F102+F103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26" t="s">
        <v>10</v>
      </c>
      <c r="B102" s="6">
        <f t="shared" si="1"/>
        <v>8.107</v>
      </c>
      <c r="C102" s="42"/>
      <c r="D102" s="42"/>
      <c r="E102" s="42">
        <v>8.107</v>
      </c>
      <c r="F102" s="39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26" t="s">
        <v>7</v>
      </c>
      <c r="B103" s="6">
        <f t="shared" si="1"/>
        <v>0</v>
      </c>
      <c r="C103" s="14">
        <f>C104+C105+C106</f>
        <v>0</v>
      </c>
      <c r="D103" s="14">
        <f>D104+D105+D106</f>
        <v>0</v>
      </c>
      <c r="E103" s="14">
        <f>E104+E105+E106</f>
        <v>0</v>
      </c>
      <c r="F103" s="14">
        <f>F104+F105+F106</f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26" t="s">
        <v>8</v>
      </c>
      <c r="B104" s="6">
        <f t="shared" si="1"/>
        <v>0</v>
      </c>
      <c r="C104" s="9"/>
      <c r="D104" s="6"/>
      <c r="E104" s="8"/>
      <c r="F104" s="1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26" t="s">
        <v>39</v>
      </c>
      <c r="B105" s="6">
        <f>C105+D105+E105+F105</f>
        <v>0</v>
      </c>
      <c r="C105" s="9"/>
      <c r="D105" s="9">
        <v>0</v>
      </c>
      <c r="E105" s="9"/>
      <c r="F105" s="187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26" t="s">
        <v>9</v>
      </c>
      <c r="B106" s="6">
        <f t="shared" si="1"/>
        <v>0</v>
      </c>
      <c r="C106" s="9"/>
      <c r="D106" s="6"/>
      <c r="E106" s="8"/>
      <c r="F106" s="1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65" t="s">
        <v>14</v>
      </c>
      <c r="B107" s="6">
        <f t="shared" si="1"/>
        <v>63.37</v>
      </c>
      <c r="C107" s="9"/>
      <c r="D107" s="6"/>
      <c r="E107" s="6"/>
      <c r="F107" s="7">
        <f>F108+F109</f>
        <v>63.37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26" t="s">
        <v>10</v>
      </c>
      <c r="B108" s="6">
        <f t="shared" si="1"/>
        <v>0.826</v>
      </c>
      <c r="C108" s="9"/>
      <c r="D108" s="6"/>
      <c r="E108" s="6"/>
      <c r="F108" s="121">
        <v>0.826</v>
      </c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26" t="s">
        <v>7</v>
      </c>
      <c r="B109" s="6">
        <f t="shared" si="1"/>
        <v>62.544</v>
      </c>
      <c r="C109" s="14">
        <f>C110+C111+C112</f>
        <v>0</v>
      </c>
      <c r="D109" s="14">
        <f>D110+D111+D112</f>
        <v>0</v>
      </c>
      <c r="E109" s="14">
        <f>E110+E111+E112</f>
        <v>0</v>
      </c>
      <c r="F109" s="14">
        <f>F110+F111+F112</f>
        <v>62.544</v>
      </c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26" t="s">
        <v>8</v>
      </c>
      <c r="B110" s="6">
        <f t="shared" si="1"/>
        <v>62.544</v>
      </c>
      <c r="C110" s="9"/>
      <c r="D110" s="6"/>
      <c r="E110" s="8"/>
      <c r="F110" s="13">
        <v>62.544</v>
      </c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26" t="s">
        <v>39</v>
      </c>
      <c r="B111" s="6">
        <f>C111+D111+E111+F111</f>
        <v>0</v>
      </c>
      <c r="C111" s="9"/>
      <c r="D111" s="9">
        <v>0</v>
      </c>
      <c r="E111" s="9"/>
      <c r="F111" s="187"/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26" t="s">
        <v>9</v>
      </c>
      <c r="B112" s="6">
        <f t="shared" si="1"/>
        <v>0</v>
      </c>
      <c r="C112" s="9"/>
      <c r="D112" s="6"/>
      <c r="E112" s="8"/>
      <c r="F112" s="13"/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65" t="s">
        <v>18</v>
      </c>
      <c r="B113" s="6">
        <f t="shared" si="1"/>
        <v>225.232</v>
      </c>
      <c r="C113" s="9"/>
      <c r="D113" s="6"/>
      <c r="E113" s="6">
        <f>E114+E115</f>
        <v>13.955</v>
      </c>
      <c r="F113" s="7">
        <f>F114+F115</f>
        <v>211.277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26" t="s">
        <v>10</v>
      </c>
      <c r="B114" s="6">
        <f t="shared" si="1"/>
        <v>67.839</v>
      </c>
      <c r="C114" s="9"/>
      <c r="D114" s="6"/>
      <c r="E114" s="119">
        <v>13.955</v>
      </c>
      <c r="F114" s="121">
        <v>53.884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26" t="s">
        <v>7</v>
      </c>
      <c r="B115" s="6">
        <f t="shared" si="1"/>
        <v>157.393</v>
      </c>
      <c r="C115" s="14">
        <f>C116+C117+C118</f>
        <v>0</v>
      </c>
      <c r="D115" s="14">
        <f>D116+D117+D118</f>
        <v>0</v>
      </c>
      <c r="E115" s="14">
        <f>E116+E117+E118</f>
        <v>0</v>
      </c>
      <c r="F115" s="14">
        <f>F116+F117+F118</f>
        <v>157.393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26" t="s">
        <v>8</v>
      </c>
      <c r="B116" s="6">
        <f t="shared" si="1"/>
        <v>0</v>
      </c>
      <c r="C116" s="9"/>
      <c r="D116" s="6"/>
      <c r="E116" s="6"/>
      <c r="F116" s="7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26" t="s">
        <v>39</v>
      </c>
      <c r="B117" s="6">
        <f>C117+D117+E117+F117</f>
        <v>0</v>
      </c>
      <c r="C117" s="9"/>
      <c r="D117" s="9">
        <v>0</v>
      </c>
      <c r="E117" s="9"/>
      <c r="F117" s="187"/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26" t="s">
        <v>9</v>
      </c>
      <c r="B118" s="6">
        <f t="shared" si="1"/>
        <v>157.393</v>
      </c>
      <c r="C118" s="9"/>
      <c r="D118" s="6"/>
      <c r="E118" s="6"/>
      <c r="F118" s="7">
        <v>157.393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65" t="s">
        <v>13</v>
      </c>
      <c r="B119" s="6">
        <f t="shared" si="1"/>
        <v>109.701</v>
      </c>
      <c r="C119" s="6">
        <f>C120+C121</f>
        <v>0</v>
      </c>
      <c r="D119" s="6"/>
      <c r="E119" s="6">
        <f>E120+E121</f>
        <v>109.701</v>
      </c>
      <c r="F119" s="7">
        <f>F120+F121</f>
        <v>0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26" t="s">
        <v>10</v>
      </c>
      <c r="B120" s="6">
        <f t="shared" si="1"/>
        <v>109.701</v>
      </c>
      <c r="C120" s="42"/>
      <c r="D120" s="42"/>
      <c r="E120" s="42">
        <v>109.701</v>
      </c>
      <c r="F120" s="39"/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26" t="s">
        <v>7</v>
      </c>
      <c r="B121" s="6">
        <f t="shared" si="1"/>
        <v>0</v>
      </c>
      <c r="C121" s="14">
        <f>C122+C123+C124</f>
        <v>0</v>
      </c>
      <c r="D121" s="14">
        <f>D122+D123+D124</f>
        <v>0</v>
      </c>
      <c r="E121" s="14">
        <f>E122+E123+E124</f>
        <v>0</v>
      </c>
      <c r="F121" s="14">
        <f>F122+F123+F124</f>
        <v>0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26" t="s">
        <v>8</v>
      </c>
      <c r="B122" s="6">
        <f t="shared" si="1"/>
        <v>0</v>
      </c>
      <c r="C122" s="9"/>
      <c r="D122" s="6"/>
      <c r="E122" s="8"/>
      <c r="F122" s="13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26" t="s">
        <v>39</v>
      </c>
      <c r="B123" s="6">
        <f>C123+D123+E123+F123</f>
        <v>0</v>
      </c>
      <c r="C123" s="9"/>
      <c r="D123" s="9">
        <v>0</v>
      </c>
      <c r="E123" s="9"/>
      <c r="F123" s="187"/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26" t="s">
        <v>9</v>
      </c>
      <c r="B124" s="6">
        <f t="shared" si="1"/>
        <v>0</v>
      </c>
      <c r="C124" s="9"/>
      <c r="D124" s="6"/>
      <c r="E124" s="8"/>
      <c r="F124" s="13"/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65" t="s">
        <v>62</v>
      </c>
      <c r="B125" s="6">
        <f t="shared" si="1"/>
        <v>9.3402</v>
      </c>
      <c r="C125" s="9"/>
      <c r="D125" s="6"/>
      <c r="E125" s="6">
        <f>E126+E127</f>
        <v>0</v>
      </c>
      <c r="F125" s="7">
        <f>F126+F127</f>
        <v>9.3402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26" t="s">
        <v>10</v>
      </c>
      <c r="B126" s="6">
        <f t="shared" si="1"/>
        <v>9.3402</v>
      </c>
      <c r="C126" s="9"/>
      <c r="D126" s="6"/>
      <c r="E126" s="6"/>
      <c r="F126" s="121">
        <v>9.3402</v>
      </c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26" t="s">
        <v>7</v>
      </c>
      <c r="B127" s="6">
        <f t="shared" si="1"/>
        <v>0</v>
      </c>
      <c r="C127" s="14">
        <f>C128+C129+C130</f>
        <v>0</v>
      </c>
      <c r="D127" s="14">
        <f>D128+D129+D130</f>
        <v>0</v>
      </c>
      <c r="E127" s="14">
        <f>E128+E129+E130</f>
        <v>0</v>
      </c>
      <c r="F127" s="14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26" t="s">
        <v>8</v>
      </c>
      <c r="B128" s="6">
        <f t="shared" si="1"/>
        <v>0</v>
      </c>
      <c r="C128" s="9"/>
      <c r="D128" s="6"/>
      <c r="E128" s="8"/>
      <c r="F128" s="1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26" t="s">
        <v>39</v>
      </c>
      <c r="B129" s="6">
        <f>C129+D129+E129+F129</f>
        <v>0</v>
      </c>
      <c r="C129" s="9"/>
      <c r="D129" s="9">
        <v>0</v>
      </c>
      <c r="E129" s="9"/>
      <c r="F129" s="187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26" t="s">
        <v>9</v>
      </c>
      <c r="B130" s="6">
        <f t="shared" si="1"/>
        <v>0</v>
      </c>
      <c r="C130" s="9"/>
      <c r="D130" s="6"/>
      <c r="E130" s="8"/>
      <c r="F130" s="1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65"/>
      <c r="B131" s="6">
        <f t="shared" si="1"/>
        <v>0</v>
      </c>
      <c r="C131" s="9"/>
      <c r="D131" s="6"/>
      <c r="E131" s="6">
        <f>E132+E133</f>
        <v>0</v>
      </c>
      <c r="F131" s="7">
        <f>F132+F133</f>
        <v>0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26" t="s">
        <v>10</v>
      </c>
      <c r="B132" s="6">
        <f t="shared" si="1"/>
        <v>0</v>
      </c>
      <c r="C132" s="9"/>
      <c r="D132" s="6"/>
      <c r="E132" s="6"/>
      <c r="F132" s="121"/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26" t="s">
        <v>7</v>
      </c>
      <c r="B133" s="6">
        <f t="shared" si="1"/>
        <v>0</v>
      </c>
      <c r="C133" s="14">
        <f>C134+C135+C136</f>
        <v>0</v>
      </c>
      <c r="D133" s="14">
        <f>D134+D135+D136</f>
        <v>0</v>
      </c>
      <c r="E133" s="14">
        <f>E134+E135+E136</f>
        <v>0</v>
      </c>
      <c r="F133" s="14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26" t="s">
        <v>8</v>
      </c>
      <c r="B134" s="6">
        <f t="shared" si="1"/>
        <v>0</v>
      </c>
      <c r="C134" s="9"/>
      <c r="D134" s="6"/>
      <c r="E134" s="6"/>
      <c r="F134" s="7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26" t="s">
        <v>39</v>
      </c>
      <c r="B135" s="6">
        <f>C135+D135+E135+F135</f>
        <v>0</v>
      </c>
      <c r="C135" s="9"/>
      <c r="D135" s="9">
        <v>0</v>
      </c>
      <c r="E135" s="9"/>
      <c r="F135" s="187"/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26" t="s">
        <v>9</v>
      </c>
      <c r="B136" s="6">
        <f t="shared" si="1"/>
        <v>0</v>
      </c>
      <c r="C136" s="9"/>
      <c r="D136" s="6"/>
      <c r="E136" s="6"/>
      <c r="F136" s="7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65" t="s">
        <v>56</v>
      </c>
      <c r="B137" s="6">
        <f aca="true" t="shared" si="2" ref="B137:B177">C137+D137+E137+F137</f>
        <v>131.041</v>
      </c>
      <c r="C137" s="9"/>
      <c r="D137" s="6"/>
      <c r="E137" s="6">
        <f>E138+E139</f>
        <v>131.041</v>
      </c>
      <c r="F137" s="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26" t="s">
        <v>10</v>
      </c>
      <c r="B138" s="6">
        <f t="shared" si="2"/>
        <v>63.471</v>
      </c>
      <c r="C138" s="9"/>
      <c r="D138" s="6"/>
      <c r="E138" s="6">
        <v>63.471</v>
      </c>
      <c r="F138" s="121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26" t="s">
        <v>7</v>
      </c>
      <c r="B139" s="6">
        <f t="shared" si="2"/>
        <v>67.57</v>
      </c>
      <c r="C139" s="14">
        <f>C140+C141+C142</f>
        <v>0</v>
      </c>
      <c r="D139" s="14">
        <f>D140+D141+D142</f>
        <v>0</v>
      </c>
      <c r="E139" s="14">
        <f>E140+E141+E142</f>
        <v>67.57</v>
      </c>
      <c r="F139" s="14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26" t="s">
        <v>8</v>
      </c>
      <c r="B140" s="6">
        <f t="shared" si="2"/>
        <v>67.57</v>
      </c>
      <c r="C140" s="9"/>
      <c r="D140" s="6"/>
      <c r="E140" s="6">
        <v>67.57</v>
      </c>
      <c r="F140" s="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26" t="s">
        <v>39</v>
      </c>
      <c r="B141" s="6">
        <f t="shared" si="2"/>
        <v>0</v>
      </c>
      <c r="C141" s="9"/>
      <c r="D141" s="9">
        <v>0</v>
      </c>
      <c r="E141" s="9"/>
      <c r="F141" s="187"/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26" t="s">
        <v>9</v>
      </c>
      <c r="B142" s="6">
        <f t="shared" si="2"/>
        <v>0</v>
      </c>
      <c r="C142" s="9"/>
      <c r="D142" s="6"/>
      <c r="E142" s="6"/>
      <c r="F142" s="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65" t="s">
        <v>6</v>
      </c>
      <c r="B143" s="6">
        <f t="shared" si="2"/>
        <v>1269.6970000000001</v>
      </c>
      <c r="C143" s="14">
        <f>C144+C145</f>
        <v>0</v>
      </c>
      <c r="D143" s="6"/>
      <c r="E143" s="14">
        <f>E144+E145</f>
        <v>576.469</v>
      </c>
      <c r="F143" s="15">
        <f>F144+F145</f>
        <v>693.2280000000001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26" t="s">
        <v>10</v>
      </c>
      <c r="B144" s="6">
        <f t="shared" si="2"/>
        <v>533.615</v>
      </c>
      <c r="C144" s="6"/>
      <c r="D144" s="6"/>
      <c r="E144" s="14">
        <v>410.108</v>
      </c>
      <c r="F144" s="15">
        <v>123.507</v>
      </c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26" t="s">
        <v>7</v>
      </c>
      <c r="B145" s="6">
        <f t="shared" si="2"/>
        <v>736.082</v>
      </c>
      <c r="C145" s="14">
        <f>C146+C147+C148</f>
        <v>0</v>
      </c>
      <c r="D145" s="14">
        <f>D146+D147+D148</f>
        <v>0</v>
      </c>
      <c r="E145" s="14">
        <f>E146+E147+E148</f>
        <v>166.361</v>
      </c>
      <c r="F145" s="14">
        <f>F146+F147+F148</f>
        <v>569.721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26" t="s">
        <v>8</v>
      </c>
      <c r="B146" s="6">
        <f t="shared" si="2"/>
        <v>546.813</v>
      </c>
      <c r="C146" s="6"/>
      <c r="D146" s="6"/>
      <c r="E146" s="9">
        <v>154.915</v>
      </c>
      <c r="F146" s="10">
        <v>391.898</v>
      </c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26" t="s">
        <v>39</v>
      </c>
      <c r="B147" s="6">
        <f>C147+D147+E147+F147</f>
        <v>87.72000000000001</v>
      </c>
      <c r="C147" s="9"/>
      <c r="D147" s="9"/>
      <c r="E147" s="9">
        <v>9.2</v>
      </c>
      <c r="F147" s="10">
        <f>20+58.52</f>
        <v>78.52000000000001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26" t="s">
        <v>9</v>
      </c>
      <c r="B148" s="6">
        <f t="shared" si="2"/>
        <v>101.54899999999999</v>
      </c>
      <c r="C148" s="6"/>
      <c r="D148" s="6"/>
      <c r="E148" s="9">
        <v>2.246</v>
      </c>
      <c r="F148" s="10">
        <v>99.303</v>
      </c>
      <c r="G148" s="120"/>
      <c r="H148" s="120"/>
    </row>
    <row r="149" spans="1:8" s="30" customFormat="1" ht="32.25" customHeight="1">
      <c r="A149" s="65" t="s">
        <v>5</v>
      </c>
      <c r="B149" s="6">
        <f t="shared" si="2"/>
        <v>2639.684</v>
      </c>
      <c r="C149" s="14">
        <f>C150+C151+C153</f>
        <v>351.461</v>
      </c>
      <c r="D149" s="6"/>
      <c r="E149" s="14">
        <f>E150+E153</f>
        <v>1511.8780000000002</v>
      </c>
      <c r="F149" s="15">
        <f>F150+F153</f>
        <v>776.345</v>
      </c>
      <c r="G149" s="120"/>
      <c r="H149" s="120"/>
    </row>
    <row r="150" spans="1:18" s="3" customFormat="1" ht="32.25" customHeight="1">
      <c r="A150" s="26" t="s">
        <v>10</v>
      </c>
      <c r="B150" s="6">
        <f t="shared" si="2"/>
        <v>1372.978</v>
      </c>
      <c r="C150" s="14">
        <f>351.461-C151</f>
        <v>0</v>
      </c>
      <c r="D150" s="6"/>
      <c r="E150" s="14">
        <v>1156.682</v>
      </c>
      <c r="F150" s="15">
        <v>216.296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32" t="s">
        <v>50</v>
      </c>
      <c r="B151" s="6">
        <f t="shared" si="2"/>
        <v>351.461</v>
      </c>
      <c r="C151" s="94">
        <v>351.461</v>
      </c>
      <c r="D151" s="6"/>
      <c r="E151" s="6"/>
      <c r="F151" s="7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32" t="s">
        <v>26</v>
      </c>
      <c r="B152" s="72">
        <f t="shared" si="2"/>
        <v>0.509</v>
      </c>
      <c r="C152" s="94">
        <v>0.509</v>
      </c>
      <c r="D152" s="84"/>
      <c r="E152" s="84"/>
      <c r="F152" s="39"/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26" t="s">
        <v>7</v>
      </c>
      <c r="B153" s="6">
        <f t="shared" si="2"/>
        <v>915.245</v>
      </c>
      <c r="C153" s="14">
        <f>C154+C155+C156</f>
        <v>0</v>
      </c>
      <c r="D153" s="14">
        <f>D154+D155+D156</f>
        <v>0</v>
      </c>
      <c r="E153" s="14">
        <f>E154+E155+E156</f>
        <v>355.196</v>
      </c>
      <c r="F153" s="14">
        <f>F154+F155+F156</f>
        <v>560.049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26" t="s">
        <v>8</v>
      </c>
      <c r="B154" s="6">
        <f t="shared" si="2"/>
        <v>705.462</v>
      </c>
      <c r="C154" s="9"/>
      <c r="D154" s="9"/>
      <c r="E154" s="9">
        <f>408.053-156.22</f>
        <v>251.833</v>
      </c>
      <c r="F154" s="10">
        <v>453.629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26" t="s">
        <v>39</v>
      </c>
      <c r="B155" s="6">
        <f>C155+D155+E155+F155</f>
        <v>200.562</v>
      </c>
      <c r="C155" s="9"/>
      <c r="D155" s="9"/>
      <c r="E155" s="9">
        <v>94.142</v>
      </c>
      <c r="F155" s="10">
        <f>20+86.42</f>
        <v>106.42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26" t="s">
        <v>9</v>
      </c>
      <c r="B156" s="6">
        <f t="shared" si="2"/>
        <v>9.221</v>
      </c>
      <c r="C156" s="9"/>
      <c r="D156" s="9"/>
      <c r="E156" s="9">
        <v>9.221</v>
      </c>
      <c r="F156" s="10">
        <v>0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65" t="s">
        <v>17</v>
      </c>
      <c r="B157" s="6">
        <f t="shared" si="2"/>
        <v>5371.34</v>
      </c>
      <c r="C157" s="14"/>
      <c r="D157" s="6"/>
      <c r="E157" s="14">
        <f>E158+E159</f>
        <v>1252.142</v>
      </c>
      <c r="F157" s="15">
        <f>F158+F159</f>
        <v>4119.198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26" t="s">
        <v>10</v>
      </c>
      <c r="B158" s="6">
        <f t="shared" si="2"/>
        <v>2361.355</v>
      </c>
      <c r="C158" s="6"/>
      <c r="D158" s="6"/>
      <c r="E158" s="14">
        <v>1214.819</v>
      </c>
      <c r="F158" s="15">
        <v>1146.536</v>
      </c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26" t="s">
        <v>7</v>
      </c>
      <c r="B159" s="6">
        <f t="shared" si="2"/>
        <v>3009.9849999999997</v>
      </c>
      <c r="C159" s="14">
        <f>C160+C161+C162</f>
        <v>0</v>
      </c>
      <c r="D159" s="14">
        <f>D160+D161+D162</f>
        <v>0</v>
      </c>
      <c r="E159" s="14">
        <f>E160+E161+E162</f>
        <v>37.323</v>
      </c>
      <c r="F159" s="14">
        <f>F160+F161+F162</f>
        <v>2972.662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26" t="s">
        <v>8</v>
      </c>
      <c r="B160" s="6">
        <f t="shared" si="2"/>
        <v>286.025</v>
      </c>
      <c r="C160" s="8"/>
      <c r="D160" s="6"/>
      <c r="E160" s="9">
        <v>15.316</v>
      </c>
      <c r="F160" s="10">
        <v>270.709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26" t="s">
        <v>39</v>
      </c>
      <c r="B161" s="6">
        <f>C161+D161+E161+F161</f>
        <v>0</v>
      </c>
      <c r="C161" s="9"/>
      <c r="D161" s="9">
        <v>0</v>
      </c>
      <c r="E161" s="9"/>
      <c r="F161" s="18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 thickBot="1">
      <c r="A162" s="25" t="s">
        <v>9</v>
      </c>
      <c r="B162" s="16">
        <f t="shared" si="2"/>
        <v>2723.96</v>
      </c>
      <c r="C162" s="17"/>
      <c r="D162" s="16"/>
      <c r="E162" s="19">
        <v>22.007</v>
      </c>
      <c r="F162" s="28">
        <v>2701.953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 thickBot="1">
      <c r="A163" s="109" t="s">
        <v>10</v>
      </c>
      <c r="B163" s="192">
        <f t="shared" si="2"/>
        <v>66179.97</v>
      </c>
      <c r="C163" s="193">
        <f>C164+C165+C169</f>
        <v>30142.301</v>
      </c>
      <c r="D163" s="193">
        <f>D164+D165+D169</f>
        <v>1090.6819999999998</v>
      </c>
      <c r="E163" s="193">
        <f>E164+E165+E169</f>
        <v>22890.3188</v>
      </c>
      <c r="F163" s="194">
        <f>F164+F165+F169</f>
        <v>12056.6682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33" t="s">
        <v>40</v>
      </c>
      <c r="B164" s="43">
        <f t="shared" si="2"/>
        <v>50809.270000000004</v>
      </c>
      <c r="C164" s="67">
        <f>C9+C24+C30+C36+C42+C50+C56+C62+C68+C74+C86+C94+C102+C108+C114+C120+C126+C132+C138+C144+C150+C158</f>
        <v>17635.884000000002</v>
      </c>
      <c r="D164" s="67">
        <f>D9+D24+D30+D36+D42+D50+D56+D62+D68+D74+D86+D94+D102+D108+D114+D120+D126+D132+D138+D144+D150+D158</f>
        <v>563.877</v>
      </c>
      <c r="E164" s="67">
        <f>E9+E24+E30+E36+E42+E50+E56+E62+E68+E74+E86+E94+E102+E108+E114+E120+E126+E132+E138+E144+E150+E158</f>
        <v>20602.986800000002</v>
      </c>
      <c r="F164" s="68">
        <f>F9+F24+F30+F36+F42+F50+F56+F62+F68+F74+F86+F94+F102+F108+F114+F120+F126+F132+F138+F144+F150+F158</f>
        <v>12006.5222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33" t="s">
        <v>42</v>
      </c>
      <c r="B165" s="5">
        <f t="shared" si="2"/>
        <v>14388.41</v>
      </c>
      <c r="C165" s="14">
        <f>C10+C43+C75+C87+C95+C151</f>
        <v>11524.126999999999</v>
      </c>
      <c r="D165" s="14">
        <f aca="true" t="shared" si="3" ref="D165:F166">D10+D43+D75+D95</f>
        <v>526.805</v>
      </c>
      <c r="E165" s="14">
        <f t="shared" si="3"/>
        <v>2287.332</v>
      </c>
      <c r="F165" s="15">
        <f t="shared" si="3"/>
        <v>50.146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33" t="s">
        <v>41</v>
      </c>
      <c r="B166" s="5">
        <f t="shared" si="2"/>
        <v>23</v>
      </c>
      <c r="C166" s="14">
        <f>C11+C44+C76+C88+C96+C152</f>
        <v>17.61</v>
      </c>
      <c r="D166" s="14">
        <f t="shared" si="3"/>
        <v>1.381</v>
      </c>
      <c r="E166" s="14">
        <f t="shared" si="3"/>
        <v>3.926</v>
      </c>
      <c r="F166" s="15">
        <f t="shared" si="3"/>
        <v>0.083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26" t="s">
        <v>45</v>
      </c>
      <c r="B167" s="5">
        <f t="shared" si="2"/>
        <v>3135.986</v>
      </c>
      <c r="C167" s="14">
        <f>C16</f>
        <v>3135.986</v>
      </c>
      <c r="D167" s="14">
        <f>D16</f>
        <v>0</v>
      </c>
      <c r="E167" s="14">
        <f>E16</f>
        <v>0</v>
      </c>
      <c r="F167" s="14">
        <f>F16</f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>
      <c r="A168" s="33" t="s">
        <v>46</v>
      </c>
      <c r="B168" s="5">
        <f t="shared" si="2"/>
        <v>6.085</v>
      </c>
      <c r="C168" s="14">
        <f>C18</f>
        <v>6.085</v>
      </c>
      <c r="D168" s="14">
        <f>D18</f>
        <v>0</v>
      </c>
      <c r="E168" s="14">
        <f>E18</f>
        <v>0</v>
      </c>
      <c r="F168" s="14">
        <f>F18</f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>
      <c r="A169" s="100" t="s">
        <v>22</v>
      </c>
      <c r="B169" s="5">
        <f t="shared" si="2"/>
        <v>982.29</v>
      </c>
      <c r="C169" s="14">
        <f>C7</f>
        <v>982.29</v>
      </c>
      <c r="D169" s="14"/>
      <c r="E169" s="14"/>
      <c r="F169" s="15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 thickBot="1">
      <c r="A170" s="100" t="s">
        <v>23</v>
      </c>
      <c r="B170" s="31">
        <f t="shared" si="2"/>
        <v>2.591</v>
      </c>
      <c r="C170" s="122">
        <f>C8</f>
        <v>2.591</v>
      </c>
      <c r="D170" s="122"/>
      <c r="E170" s="122"/>
      <c r="F170" s="123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 thickBot="1">
      <c r="A171" s="98" t="s">
        <v>11</v>
      </c>
      <c r="B171" s="78">
        <f t="shared" si="2"/>
        <v>26890.000000000004</v>
      </c>
      <c r="C171" s="124">
        <f>C172+C173+C174</f>
        <v>81.438</v>
      </c>
      <c r="D171" s="124">
        <f>D172+D173+D174</f>
        <v>1.43</v>
      </c>
      <c r="E171" s="124">
        <f>E172+E173+E174</f>
        <v>1309.061</v>
      </c>
      <c r="F171" s="125">
        <f>F172+F173+F174</f>
        <v>25498.071000000004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106" t="s">
        <v>8</v>
      </c>
      <c r="B172" s="107">
        <f t="shared" si="2"/>
        <v>10333.694000000001</v>
      </c>
      <c r="C172" s="126">
        <f>C13+C26+C32+C38+C46+C52+C58+C64+C70+C82+C90+C98+C104+C110+C116+C122+C128+C134+C140+C146+C154+C160</f>
        <v>0.21599999999999997</v>
      </c>
      <c r="D172" s="126">
        <f>D13+D26+D32+D38+D46+D52+D58+D64+D70+D82+D90+D98+D104+D110+D116+D122+D128+D134+D140+D146+D154+D160</f>
        <v>0</v>
      </c>
      <c r="E172" s="126">
        <f>E13+E26+E32+E38+E46+E52+E58+E64+E70+E82+E90+E98+E104+E110+E116+E122+E128+E134+E140+E146+E154+E160</f>
        <v>820.04</v>
      </c>
      <c r="F172" s="127">
        <f>F13+F26+F32+F38+F46+F52+F58+F64+F70+F82+F90+F98+F104+F110+F116+F122+F128+F134+F140+F146+F154+F160</f>
        <v>9513.438000000002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08" t="s">
        <v>39</v>
      </c>
      <c r="B173" s="5">
        <f t="shared" si="2"/>
        <v>383.747</v>
      </c>
      <c r="C173" s="14">
        <f>C14+C47+C147+C155</f>
        <v>0</v>
      </c>
      <c r="D173" s="14">
        <f>D14+D47+D147+D155</f>
        <v>0</v>
      </c>
      <c r="E173" s="14">
        <f>E14+E47+E147+E155</f>
        <v>103.342</v>
      </c>
      <c r="F173" s="15">
        <f>F14+F47+F147+F155</f>
        <v>280.40500000000003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 thickBot="1">
      <c r="A174" s="109" t="s">
        <v>9</v>
      </c>
      <c r="B174" s="31">
        <f t="shared" si="2"/>
        <v>16172.559000000001</v>
      </c>
      <c r="C174" s="122">
        <f>C15+C28+C34+C40++C48+C54+C60+C66+C72+C84+C92+C100+C106+C112+C118+C124+C130+C136+C142+C148+C156+C162</f>
        <v>81.22200000000001</v>
      </c>
      <c r="D174" s="122">
        <f>D15+D28+D34+D40++D48+D54+D60+D66+D72+D84+D92+D100+D106+D112+D118+D124+D130+D136+D142+D148+D156+D162</f>
        <v>1.43</v>
      </c>
      <c r="E174" s="122">
        <f>E15+E28+E34+E40++E48+E54+E60+E66+E72+E84+E92+E100+E106+E112+E118+E124+E130+E136+E142+E148+E156+E162</f>
        <v>385.6789999999999</v>
      </c>
      <c r="F174" s="123">
        <f>F15+F28+F34+F40++F48+F54+F60+F66+F72+F84+F92+F100+F106+F112+F118+F124+F130+F136+F142+F148+F156+F162</f>
        <v>15704.228000000001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4" thickBot="1">
      <c r="A175" s="110" t="s">
        <v>28</v>
      </c>
      <c r="B175" s="50">
        <f t="shared" si="2"/>
        <v>31.676000000000002</v>
      </c>
      <c r="C175" s="129">
        <f>C176+C177</f>
        <v>26.286</v>
      </c>
      <c r="D175" s="129">
        <f>D176+D177</f>
        <v>1.381</v>
      </c>
      <c r="E175" s="129">
        <f>E176+E177</f>
        <v>3.926</v>
      </c>
      <c r="F175" s="130">
        <f>F176+F177</f>
        <v>0.083</v>
      </c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>
      <c r="A176" s="113" t="s">
        <v>29</v>
      </c>
      <c r="B176" s="43">
        <f t="shared" si="2"/>
        <v>29.085</v>
      </c>
      <c r="C176" s="67">
        <f>C11+C18+C44+C76+C88+C96+C152</f>
        <v>23.695</v>
      </c>
      <c r="D176" s="67">
        <f>D11+D44+D76+D96</f>
        <v>1.381</v>
      </c>
      <c r="E176" s="67">
        <f>E11+E44+E76+E96</f>
        <v>3.926</v>
      </c>
      <c r="F176" s="68">
        <f>F11+F44+F76+F96</f>
        <v>0.083</v>
      </c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114" t="s">
        <v>37</v>
      </c>
      <c r="B177" s="31">
        <f t="shared" si="2"/>
        <v>2.591</v>
      </c>
      <c r="C177" s="122">
        <f>C8</f>
        <v>2.591</v>
      </c>
      <c r="D177" s="122">
        <f>D8</f>
        <v>0</v>
      </c>
      <c r="E177" s="122">
        <f>E8</f>
        <v>0</v>
      </c>
      <c r="F177" s="123">
        <f>F8</f>
        <v>0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 thickBot="1">
      <c r="A178" s="183"/>
      <c r="B178" s="73"/>
      <c r="C178" s="73"/>
      <c r="D178" s="73"/>
      <c r="E178" s="73"/>
      <c r="F178" s="73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4" thickBot="1">
      <c r="A179" s="49" t="s">
        <v>51</v>
      </c>
      <c r="B179" s="50">
        <f>C179+D179+E179+F179</f>
        <v>58924.26900000001</v>
      </c>
      <c r="C179" s="51">
        <f>C5</f>
        <v>16113.674</v>
      </c>
      <c r="D179" s="51">
        <f>D5</f>
        <v>1092.1119999999999</v>
      </c>
      <c r="E179" s="51">
        <f>E5</f>
        <v>16358.916000000001</v>
      </c>
      <c r="F179" s="51">
        <f>F5</f>
        <v>25359.567000000003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49" t="s">
        <v>53</v>
      </c>
      <c r="B180" s="50">
        <f>C180+D180+E180+F180</f>
        <v>3135.986</v>
      </c>
      <c r="C180" s="77">
        <f>C16</f>
        <v>3135.986</v>
      </c>
      <c r="D180" s="77">
        <f>D16</f>
        <v>0</v>
      </c>
      <c r="E180" s="77">
        <f>E16</f>
        <v>0</v>
      </c>
      <c r="F180" s="77">
        <f>F16</f>
        <v>0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49" t="s">
        <v>52</v>
      </c>
      <c r="B181" s="50">
        <f>C181+D181+E181+F181</f>
        <v>34145.701</v>
      </c>
      <c r="C181" s="77">
        <f>C23+C29+C35+C41+C49+C55+C61+C67+C73+C85+C93+C101+C107+C113+C119+C125+C131+C137+C143+C149+C157</f>
        <v>14110.064999999999</v>
      </c>
      <c r="D181" s="77">
        <f>D23+D29+D35+D41+D49+D55+D61+D67+D73+D85+D93+D101+D107+D113+D119+D125+D131+D137+D143+D149+D157</f>
        <v>0</v>
      </c>
      <c r="E181" s="77">
        <f>E23+E29+E35+E41+E49+E55+E61+E67+E73+E85+E93+E101+E107+E113+E119+E125+E131+E137+E143+E149+E157</f>
        <v>7840.4637999999995</v>
      </c>
      <c r="F181" s="77">
        <f>F23+F29+F35+F41+F49+F55+F61+F67+F73+F85+F93+F101+F107+F113+F119+F125+F131+F137+F143+F149+F157</f>
        <v>12195.1722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4" thickBot="1">
      <c r="A182" s="183"/>
      <c r="B182" s="115">
        <f>C182+D182+E182+F182</f>
        <v>96205.956</v>
      </c>
      <c r="C182" s="50">
        <f>SUM(C179:C181)</f>
        <v>33359.725</v>
      </c>
      <c r="D182" s="50">
        <f>SUM(D179:D181)</f>
        <v>1092.1119999999999</v>
      </c>
      <c r="E182" s="50">
        <f>SUM(E179:E181)</f>
        <v>24199.379800000002</v>
      </c>
      <c r="F182" s="50">
        <f>SUM(F179:F181)</f>
        <v>37554.7392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3.25">
      <c r="A183" s="183"/>
      <c r="B183" s="73">
        <f>B182-B185</f>
        <v>0</v>
      </c>
      <c r="C183" s="73">
        <f>C182-C185</f>
        <v>0</v>
      </c>
      <c r="D183" s="73">
        <f>D182-D185</f>
        <v>0</v>
      </c>
      <c r="E183" s="73">
        <f>E182-E185</f>
        <v>0</v>
      </c>
      <c r="F183" s="73">
        <f>F182-F185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183"/>
      <c r="B184" s="73"/>
      <c r="C184" s="73"/>
      <c r="D184" s="73"/>
      <c r="E184" s="73"/>
      <c r="F184" s="73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49" t="s">
        <v>67</v>
      </c>
      <c r="B185" s="50">
        <f>C185+D185+E185+F185</f>
        <v>96205.956</v>
      </c>
      <c r="C185" s="51">
        <f>C5+C16+C23+C29+C35+C41+C49+C55+C61+C67+C73+C85+C93+C101+C107+C113+C119+C125+C131+C137+C143+C149+C157</f>
        <v>33359.725</v>
      </c>
      <c r="D185" s="51">
        <f>D5+D16+D23+D29+D35+D41+D49+D55+D61+D67+D73+D85+D93+D101+D107+D113+D119+D125+D131+D137+D143+D149+D157</f>
        <v>1092.1119999999999</v>
      </c>
      <c r="E185" s="51">
        <f>E5+E16+E23+E29+E35+E41+E49+E55+E61+E67+E73+E85+E93+E101+E107+E113+E119+E125+E131+E137+E143+E149+E157</f>
        <v>24199.379800000002</v>
      </c>
      <c r="F185" s="51">
        <f>F5+F16+F23+F29+F35+F41+F49+F55+F61+F67+F73+F85+F93+F101+F107+F113+F119+F125+F131+F137+F143+F149+F157</f>
        <v>37554.739199999996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3.25">
      <c r="A186" s="183"/>
      <c r="B186" s="175"/>
      <c r="C186" s="175"/>
      <c r="D186" s="175"/>
      <c r="E186" s="175"/>
      <c r="F186" s="175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3.25">
      <c r="A187" s="172"/>
      <c r="B187" s="172"/>
      <c r="C187" s="172"/>
      <c r="D187" s="172"/>
      <c r="E187" s="172"/>
      <c r="F187" s="172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3.25">
      <c r="A188" s="172"/>
      <c r="B188" s="172"/>
      <c r="C188" s="172"/>
      <c r="D188" s="172"/>
      <c r="E188" s="172"/>
      <c r="F188" s="172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172"/>
      <c r="B189" s="172"/>
      <c r="C189" s="172"/>
      <c r="D189" s="172"/>
      <c r="E189" s="172"/>
      <c r="F189" s="172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3.25">
      <c r="A190" s="172"/>
      <c r="B190" s="172"/>
      <c r="C190" s="172"/>
      <c r="D190" s="172"/>
      <c r="E190" s="172"/>
      <c r="F190" s="172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3.25">
      <c r="A191" s="172"/>
      <c r="B191" s="172"/>
      <c r="C191" s="172"/>
      <c r="D191" s="172"/>
      <c r="E191" s="172"/>
      <c r="F191" s="172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2.75"/>
  <cols>
    <col min="1" max="1" width="67.875" style="170" customWidth="1"/>
    <col min="2" max="6" width="25.25390625" style="170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89</v>
      </c>
      <c r="B2" s="278"/>
      <c r="C2" s="278"/>
      <c r="D2" s="278"/>
      <c r="E2" s="278"/>
      <c r="F2" s="278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219" t="s">
        <v>88</v>
      </c>
      <c r="B4" s="220"/>
      <c r="C4" s="221" t="s">
        <v>0</v>
      </c>
      <c r="D4" s="221" t="s">
        <v>1</v>
      </c>
      <c r="E4" s="221" t="s">
        <v>2</v>
      </c>
      <c r="F4" s="22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223" t="s">
        <v>20</v>
      </c>
      <c r="B5" s="217">
        <f aca="true" t="shared" si="0" ref="B5:B68">C5+D5+E5+F5</f>
        <v>60555.909</v>
      </c>
      <c r="C5" s="217">
        <f>C7+C9+C10+C12</f>
        <v>20849.083000000002</v>
      </c>
      <c r="D5" s="217">
        <f>D7+D9+D10+D12</f>
        <v>1021.262</v>
      </c>
      <c r="E5" s="217">
        <f>E7+E9+E10+E12</f>
        <v>15765.752</v>
      </c>
      <c r="F5" s="218">
        <f>F7+F9+F10+F12</f>
        <v>22919.812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195" t="s">
        <v>27</v>
      </c>
      <c r="B6" s="196">
        <f t="shared" si="0"/>
        <v>18.501</v>
      </c>
      <c r="C6" s="196">
        <f>C8+C11</f>
        <v>14.173000000000002</v>
      </c>
      <c r="D6" s="196">
        <f>D8+D11</f>
        <v>1.037</v>
      </c>
      <c r="E6" s="196">
        <f>E8+E11</f>
        <v>3.226</v>
      </c>
      <c r="F6" s="197">
        <f>F8+F11</f>
        <v>0.065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195" t="s">
        <v>22</v>
      </c>
      <c r="B7" s="196">
        <f t="shared" si="0"/>
        <v>1123.35</v>
      </c>
      <c r="C7" s="196">
        <v>1123.35</v>
      </c>
      <c r="D7" s="196"/>
      <c r="E7" s="196"/>
      <c r="F7" s="197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195" t="s">
        <v>23</v>
      </c>
      <c r="B8" s="196">
        <f t="shared" si="0"/>
        <v>4.152</v>
      </c>
      <c r="C8" s="196">
        <f>2.852+1.3</f>
        <v>4.152</v>
      </c>
      <c r="D8" s="196"/>
      <c r="E8" s="196"/>
      <c r="F8" s="197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198" t="s">
        <v>24</v>
      </c>
      <c r="B9" s="196">
        <f t="shared" si="0"/>
        <v>35167.438</v>
      </c>
      <c r="C9" s="196">
        <v>14512.851</v>
      </c>
      <c r="D9" s="196">
        <v>699.956</v>
      </c>
      <c r="E9" s="196">
        <v>13101.808</v>
      </c>
      <c r="F9" s="197">
        <v>6852.823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198" t="s">
        <v>25</v>
      </c>
      <c r="B10" s="225">
        <f t="shared" si="0"/>
        <v>7449.877</v>
      </c>
      <c r="C10" s="225">
        <v>5180.022</v>
      </c>
      <c r="D10" s="225">
        <v>319.876</v>
      </c>
      <c r="E10" s="225">
        <v>1912.517</v>
      </c>
      <c r="F10" s="226">
        <v>37.462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198" t="s">
        <v>26</v>
      </c>
      <c r="B11" s="225">
        <f t="shared" si="0"/>
        <v>14.348999999999998</v>
      </c>
      <c r="C11" s="225">
        <f>8.304+1.717</f>
        <v>10.021</v>
      </c>
      <c r="D11" s="225">
        <v>1.037</v>
      </c>
      <c r="E11" s="225">
        <v>3.226</v>
      </c>
      <c r="F11" s="226">
        <v>0.065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199" t="s">
        <v>7</v>
      </c>
      <c r="B12" s="196">
        <f t="shared" si="0"/>
        <v>16815.244</v>
      </c>
      <c r="C12" s="196">
        <f>C13+C14+C15</f>
        <v>32.86</v>
      </c>
      <c r="D12" s="196">
        <f>D13+D14+D15</f>
        <v>1.43</v>
      </c>
      <c r="E12" s="196">
        <f>E13+E14+E15</f>
        <v>751.427</v>
      </c>
      <c r="F12" s="197">
        <f>F13+F14+F15</f>
        <v>16029.527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199" t="s">
        <v>8</v>
      </c>
      <c r="B13" s="196">
        <f t="shared" si="0"/>
        <v>4587.905</v>
      </c>
      <c r="C13" s="200">
        <v>14.158</v>
      </c>
      <c r="D13" s="200">
        <v>0</v>
      </c>
      <c r="E13" s="200">
        <v>197.239</v>
      </c>
      <c r="F13" s="201">
        <v>4376.508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199" t="s">
        <v>39</v>
      </c>
      <c r="B14" s="196">
        <f t="shared" si="0"/>
        <v>0</v>
      </c>
      <c r="C14" s="200">
        <v>0</v>
      </c>
      <c r="D14" s="200">
        <v>0</v>
      </c>
      <c r="E14" s="200">
        <v>0</v>
      </c>
      <c r="F14" s="201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199" t="s">
        <v>9</v>
      </c>
      <c r="B15" s="196">
        <f t="shared" si="0"/>
        <v>12227.339</v>
      </c>
      <c r="C15" s="200">
        <v>18.702</v>
      </c>
      <c r="D15" s="200">
        <v>1.43</v>
      </c>
      <c r="E15" s="200">
        <v>554.188</v>
      </c>
      <c r="F15" s="201">
        <f>12553.019-900</f>
        <v>11653.019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195" t="s">
        <v>43</v>
      </c>
      <c r="B16" s="196">
        <f t="shared" si="0"/>
        <v>1875.101</v>
      </c>
      <c r="C16" s="196">
        <f>C17+C19</f>
        <v>1875.101</v>
      </c>
      <c r="D16" s="196">
        <f>D17+D19</f>
        <v>0</v>
      </c>
      <c r="E16" s="196">
        <f>E17+E19</f>
        <v>0</v>
      </c>
      <c r="F16" s="197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199" t="s">
        <v>10</v>
      </c>
      <c r="B17" s="202">
        <f t="shared" si="0"/>
        <v>1875.101</v>
      </c>
      <c r="C17" s="202">
        <v>1875.101</v>
      </c>
      <c r="D17" s="200"/>
      <c r="E17" s="200"/>
      <c r="F17" s="201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198" t="s">
        <v>44</v>
      </c>
      <c r="B18" s="203">
        <f t="shared" si="0"/>
        <v>4.279</v>
      </c>
      <c r="C18" s="202">
        <v>4.279</v>
      </c>
      <c r="D18" s="204"/>
      <c r="E18" s="204"/>
      <c r="F18" s="205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199" t="s">
        <v>7</v>
      </c>
      <c r="B19" s="196">
        <f t="shared" si="0"/>
        <v>0</v>
      </c>
      <c r="C19" s="196">
        <f>C20+C21+C22</f>
        <v>0</v>
      </c>
      <c r="D19" s="196">
        <f>D20+D21+D22</f>
        <v>0</v>
      </c>
      <c r="E19" s="196">
        <f>E20+E21+E22</f>
        <v>0</v>
      </c>
      <c r="F19" s="197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199" t="s">
        <v>8</v>
      </c>
      <c r="B20" s="196">
        <f t="shared" si="0"/>
        <v>0</v>
      </c>
      <c r="C20" s="206"/>
      <c r="D20" s="206"/>
      <c r="E20" s="206"/>
      <c r="F20" s="207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199" t="s">
        <v>39</v>
      </c>
      <c r="B21" s="196">
        <f t="shared" si="0"/>
        <v>0</v>
      </c>
      <c r="C21" s="200"/>
      <c r="D21" s="200">
        <v>0</v>
      </c>
      <c r="E21" s="200"/>
      <c r="F21" s="201"/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199" t="s">
        <v>9</v>
      </c>
      <c r="B22" s="196">
        <f t="shared" si="0"/>
        <v>0</v>
      </c>
      <c r="C22" s="200"/>
      <c r="D22" s="200"/>
      <c r="E22" s="200"/>
      <c r="F22" s="201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195" t="s">
        <v>19</v>
      </c>
      <c r="B23" s="196">
        <f t="shared" si="0"/>
        <v>4482.986999999999</v>
      </c>
      <c r="C23" s="196">
        <f>C24+C25+C27</f>
        <v>452.635</v>
      </c>
      <c r="D23" s="196">
        <f>D24+D25+D27</f>
        <v>0</v>
      </c>
      <c r="E23" s="196">
        <f>E24+E25+E27</f>
        <v>1506.889</v>
      </c>
      <c r="F23" s="197">
        <f>F24+F25+F27</f>
        <v>2523.4629999999997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199" t="s">
        <v>10</v>
      </c>
      <c r="B24" s="196">
        <f t="shared" si="0"/>
        <v>2540.393</v>
      </c>
      <c r="C24" s="196">
        <v>385.675</v>
      </c>
      <c r="D24" s="196">
        <v>0</v>
      </c>
      <c r="E24" s="196">
        <f>1261.552-E25</f>
        <v>1239.167</v>
      </c>
      <c r="F24" s="197">
        <v>915.551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198" t="s">
        <v>75</v>
      </c>
      <c r="B25" s="196">
        <f>C25+D25+E25+F25</f>
        <v>22.385</v>
      </c>
      <c r="C25" s="196"/>
      <c r="D25" s="196"/>
      <c r="E25" s="200">
        <v>22.385</v>
      </c>
      <c r="F25" s="201"/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198" t="s">
        <v>26</v>
      </c>
      <c r="B26" s="196">
        <f>C26+D26+E26+F26</f>
        <v>0.035</v>
      </c>
      <c r="C26" s="196"/>
      <c r="D26" s="196"/>
      <c r="E26" s="200">
        <v>0.035</v>
      </c>
      <c r="F26" s="201"/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199" t="s">
        <v>7</v>
      </c>
      <c r="B27" s="196">
        <f t="shared" si="0"/>
        <v>1920.2089999999998</v>
      </c>
      <c r="C27" s="196">
        <f>C28+C29+C30</f>
        <v>66.96</v>
      </c>
      <c r="D27" s="196">
        <f>D28+D29+D30</f>
        <v>0</v>
      </c>
      <c r="E27" s="196">
        <f>E28+E29+E30</f>
        <v>245.337</v>
      </c>
      <c r="F27" s="197">
        <f>F28+F29+F30</f>
        <v>1607.9119999999998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199" t="s">
        <v>8</v>
      </c>
      <c r="B28" s="196">
        <f t="shared" si="0"/>
        <v>1178.252</v>
      </c>
      <c r="C28" s="200">
        <v>0</v>
      </c>
      <c r="D28" s="200">
        <v>0</v>
      </c>
      <c r="E28" s="200">
        <v>49.441</v>
      </c>
      <c r="F28" s="201">
        <v>1128.811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199" t="s">
        <v>39</v>
      </c>
      <c r="B29" s="196">
        <f>C29+D29+E29+F29</f>
        <v>0</v>
      </c>
      <c r="C29" s="200"/>
      <c r="D29" s="200"/>
      <c r="E29" s="200"/>
      <c r="F29" s="201"/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199" t="s">
        <v>9</v>
      </c>
      <c r="B30" s="196">
        <f t="shared" si="0"/>
        <v>741.957</v>
      </c>
      <c r="C30" s="200">
        <v>66.96</v>
      </c>
      <c r="D30" s="200">
        <v>0</v>
      </c>
      <c r="E30" s="200">
        <v>195.896</v>
      </c>
      <c r="F30" s="201">
        <v>479.101</v>
      </c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195" t="s">
        <v>55</v>
      </c>
      <c r="B31" s="196">
        <f t="shared" si="0"/>
        <v>1240.677</v>
      </c>
      <c r="C31" s="196">
        <f>C32+C33+C35</f>
        <v>1240.677</v>
      </c>
      <c r="D31" s="196">
        <f>D32+D33+D35</f>
        <v>0</v>
      </c>
      <c r="E31" s="196">
        <f>E32+E33+E35</f>
        <v>0</v>
      </c>
      <c r="F31" s="197">
        <f>F32+F33+F35</f>
        <v>0</v>
      </c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199" t="s">
        <v>10</v>
      </c>
      <c r="B32" s="196">
        <f t="shared" si="0"/>
        <v>1229.4769999999999</v>
      </c>
      <c r="C32" s="196">
        <f>1239.492-C33</f>
        <v>1229.4769999999999</v>
      </c>
      <c r="D32" s="196"/>
      <c r="E32" s="196"/>
      <c r="F32" s="197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198" t="s">
        <v>76</v>
      </c>
      <c r="B33" s="196">
        <f t="shared" si="0"/>
        <v>10.015</v>
      </c>
      <c r="C33" s="196">
        <v>10.015</v>
      </c>
      <c r="D33" s="196"/>
      <c r="E33" s="200"/>
      <c r="F33" s="201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198" t="s">
        <v>26</v>
      </c>
      <c r="B34" s="196">
        <f t="shared" si="0"/>
        <v>0.019</v>
      </c>
      <c r="C34" s="196">
        <v>0.019</v>
      </c>
      <c r="D34" s="196"/>
      <c r="E34" s="200"/>
      <c r="F34" s="201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199" t="s">
        <v>7</v>
      </c>
      <c r="B35" s="196">
        <f t="shared" si="0"/>
        <v>1.185</v>
      </c>
      <c r="C35" s="196">
        <f>C36+C37+C38</f>
        <v>1.185</v>
      </c>
      <c r="D35" s="196">
        <f>D36+D37+D38</f>
        <v>0</v>
      </c>
      <c r="E35" s="196">
        <f>E36+E37+E38</f>
        <v>0</v>
      </c>
      <c r="F35" s="197">
        <f>F36+F37+F38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199" t="s">
        <v>8</v>
      </c>
      <c r="B36" s="196">
        <f t="shared" si="0"/>
        <v>1.185</v>
      </c>
      <c r="C36" s="200">
        <v>1.185</v>
      </c>
      <c r="D36" s="200"/>
      <c r="E36" s="200"/>
      <c r="F36" s="201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199" t="s">
        <v>39</v>
      </c>
      <c r="B37" s="196">
        <f>C37+D37+E37+F37</f>
        <v>0</v>
      </c>
      <c r="C37" s="200"/>
      <c r="D37" s="200"/>
      <c r="E37" s="200"/>
      <c r="F37" s="201"/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199" t="s">
        <v>9</v>
      </c>
      <c r="B38" s="196">
        <f t="shared" si="0"/>
        <v>0</v>
      </c>
      <c r="C38" s="200"/>
      <c r="D38" s="200"/>
      <c r="E38" s="200"/>
      <c r="F38" s="201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195" t="s">
        <v>61</v>
      </c>
      <c r="B39" s="196">
        <f t="shared" si="0"/>
        <v>102.188</v>
      </c>
      <c r="C39" s="196">
        <f>C40+C41+C43</f>
        <v>0</v>
      </c>
      <c r="D39" s="196">
        <f>D40+D41+D43</f>
        <v>39.652</v>
      </c>
      <c r="E39" s="196">
        <f>E40+E41+E43</f>
        <v>26.733</v>
      </c>
      <c r="F39" s="197">
        <f>F40+F41+F43</f>
        <v>35.803</v>
      </c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199" t="s">
        <v>10</v>
      </c>
      <c r="B40" s="196">
        <f t="shared" si="0"/>
        <v>84.13499999999999</v>
      </c>
      <c r="C40" s="196"/>
      <c r="D40" s="196">
        <v>39.652</v>
      </c>
      <c r="E40" s="196">
        <v>12.173</v>
      </c>
      <c r="F40" s="197">
        <f>35.754-F41</f>
        <v>32.309999999999995</v>
      </c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198" t="s">
        <v>77</v>
      </c>
      <c r="B41" s="202">
        <f>C41+D41+E41+F41</f>
        <v>3.444</v>
      </c>
      <c r="C41" s="202"/>
      <c r="D41" s="202"/>
      <c r="E41" s="202"/>
      <c r="F41" s="227">
        <v>3.444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198" t="s">
        <v>26</v>
      </c>
      <c r="B42" s="202">
        <f>C42+D42+E42+F42</f>
        <v>0.005</v>
      </c>
      <c r="C42" s="202"/>
      <c r="D42" s="202"/>
      <c r="E42" s="202"/>
      <c r="F42" s="227">
        <v>0.005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199" t="s">
        <v>7</v>
      </c>
      <c r="B43" s="196">
        <f t="shared" si="0"/>
        <v>14.609</v>
      </c>
      <c r="C43" s="196">
        <f>C44+C45+C46</f>
        <v>0</v>
      </c>
      <c r="D43" s="196">
        <f>D44+D45+D46</f>
        <v>0</v>
      </c>
      <c r="E43" s="196">
        <f>E44+E45+E46</f>
        <v>14.56</v>
      </c>
      <c r="F43" s="197">
        <f>F44+F45+F46</f>
        <v>0.049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199" t="s">
        <v>8</v>
      </c>
      <c r="B44" s="196">
        <f t="shared" si="0"/>
        <v>14.609</v>
      </c>
      <c r="C44" s="200"/>
      <c r="D44" s="200"/>
      <c r="E44" s="200">
        <v>14.56</v>
      </c>
      <c r="F44" s="201">
        <v>0.049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199" t="s">
        <v>39</v>
      </c>
      <c r="B45" s="196">
        <f>C45+D45+E45+F45</f>
        <v>0</v>
      </c>
      <c r="C45" s="200"/>
      <c r="D45" s="200"/>
      <c r="E45" s="200"/>
      <c r="F45" s="201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199" t="s">
        <v>9</v>
      </c>
      <c r="B46" s="196">
        <f t="shared" si="0"/>
        <v>0</v>
      </c>
      <c r="C46" s="200"/>
      <c r="D46" s="200"/>
      <c r="E46" s="200"/>
      <c r="F46" s="20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195" t="s">
        <v>47</v>
      </c>
      <c r="B47" s="196">
        <f t="shared" si="0"/>
        <v>11068.365000000002</v>
      </c>
      <c r="C47" s="196">
        <f>C48+C49+C51</f>
        <v>6240.775000000001</v>
      </c>
      <c r="D47" s="196"/>
      <c r="E47" s="196">
        <f>E48+E49+E51</f>
        <v>1751.647</v>
      </c>
      <c r="F47" s="197">
        <f>F48+F49+F51</f>
        <v>3075.943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198" t="s">
        <v>21</v>
      </c>
      <c r="B48" s="196">
        <f t="shared" si="0"/>
        <v>3330.6089999999995</v>
      </c>
      <c r="C48" s="196">
        <f>6235.255-C49</f>
        <v>865.6189999999997</v>
      </c>
      <c r="D48" s="196"/>
      <c r="E48" s="196">
        <f>1671.447-E49</f>
        <v>1664.024</v>
      </c>
      <c r="F48" s="197">
        <f>803.543-F49</f>
        <v>800.966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228" t="s">
        <v>78</v>
      </c>
      <c r="B49" s="196">
        <f t="shared" si="0"/>
        <v>5379.636</v>
      </c>
      <c r="C49" s="196">
        <v>5369.636</v>
      </c>
      <c r="D49" s="196"/>
      <c r="E49" s="196">
        <v>7.423</v>
      </c>
      <c r="F49" s="197">
        <v>2.577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198" t="s">
        <v>26</v>
      </c>
      <c r="B50" s="203">
        <f t="shared" si="0"/>
        <v>7.710999999999999</v>
      </c>
      <c r="C50" s="203">
        <v>7.696</v>
      </c>
      <c r="D50" s="225"/>
      <c r="E50" s="203">
        <v>0.011</v>
      </c>
      <c r="F50" s="210">
        <v>0.004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199" t="s">
        <v>7</v>
      </c>
      <c r="B51" s="196">
        <f t="shared" si="0"/>
        <v>2358.12</v>
      </c>
      <c r="C51" s="196">
        <f>C52+C53+C54</f>
        <v>5.52</v>
      </c>
      <c r="D51" s="196">
        <f>D52+D53+D54</f>
        <v>0</v>
      </c>
      <c r="E51" s="196">
        <f>E52+E53+E54</f>
        <v>80.2</v>
      </c>
      <c r="F51" s="197">
        <f>F52+F53+F54</f>
        <v>2272.4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199" t="s">
        <v>8</v>
      </c>
      <c r="B52" s="196">
        <f t="shared" si="0"/>
        <v>2267.5609999999997</v>
      </c>
      <c r="C52" s="200">
        <v>5.52</v>
      </c>
      <c r="D52" s="200">
        <v>0</v>
      </c>
      <c r="E52" s="200">
        <v>80.2</v>
      </c>
      <c r="F52" s="201">
        <v>2181.841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199" t="s">
        <v>39</v>
      </c>
      <c r="B53" s="196">
        <f>C53+D53+E53+F53</f>
        <v>60.489</v>
      </c>
      <c r="C53" s="200">
        <v>0</v>
      </c>
      <c r="D53" s="200">
        <v>0</v>
      </c>
      <c r="E53" s="200">
        <v>0</v>
      </c>
      <c r="F53" s="201">
        <v>60.489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199" t="s">
        <v>9</v>
      </c>
      <c r="B54" s="196">
        <f t="shared" si="0"/>
        <v>30.07</v>
      </c>
      <c r="C54" s="200">
        <v>0</v>
      </c>
      <c r="D54" s="200">
        <v>0</v>
      </c>
      <c r="E54" s="200">
        <v>0</v>
      </c>
      <c r="F54" s="201">
        <v>30.07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195" t="s">
        <v>60</v>
      </c>
      <c r="B55" s="196">
        <f t="shared" si="0"/>
        <v>76.652</v>
      </c>
      <c r="C55" s="196"/>
      <c r="D55" s="196"/>
      <c r="E55" s="196">
        <f>E56+E57</f>
        <v>24.591</v>
      </c>
      <c r="F55" s="197">
        <f>F56+F57</f>
        <v>52.061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199" t="s">
        <v>10</v>
      </c>
      <c r="B56" s="196">
        <f t="shared" si="0"/>
        <v>47.39</v>
      </c>
      <c r="C56" s="196"/>
      <c r="D56" s="196"/>
      <c r="E56" s="196">
        <v>24.591</v>
      </c>
      <c r="F56" s="197">
        <v>22.799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199" t="s">
        <v>7</v>
      </c>
      <c r="B57" s="196">
        <f t="shared" si="0"/>
        <v>29.262</v>
      </c>
      <c r="C57" s="196">
        <f>C58+C59+C60</f>
        <v>0</v>
      </c>
      <c r="D57" s="196">
        <f>D58+D59+D60</f>
        <v>0</v>
      </c>
      <c r="E57" s="196">
        <f>E58+E59+E60</f>
        <v>0</v>
      </c>
      <c r="F57" s="197">
        <f>F58+F59+F60</f>
        <v>29.262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199" t="s">
        <v>8</v>
      </c>
      <c r="B58" s="196">
        <f t="shared" si="0"/>
        <v>24.51</v>
      </c>
      <c r="C58" s="200"/>
      <c r="D58" s="200"/>
      <c r="E58" s="200">
        <v>0</v>
      </c>
      <c r="F58" s="201">
        <v>24.51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199" t="s">
        <v>39</v>
      </c>
      <c r="B59" s="196">
        <f>C59+D59+E59+F59</f>
        <v>0</v>
      </c>
      <c r="C59" s="200"/>
      <c r="D59" s="200"/>
      <c r="E59" s="200">
        <v>0</v>
      </c>
      <c r="F59" s="201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199" t="s">
        <v>9</v>
      </c>
      <c r="B60" s="196">
        <f t="shared" si="0"/>
        <v>4.752</v>
      </c>
      <c r="C60" s="200"/>
      <c r="D60" s="200"/>
      <c r="E60" s="200">
        <v>0</v>
      </c>
      <c r="F60" s="201">
        <v>4.752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195" t="s">
        <v>59</v>
      </c>
      <c r="B61" s="196">
        <f t="shared" si="0"/>
        <v>0.45</v>
      </c>
      <c r="C61" s="196">
        <f>C62+C63</f>
        <v>0</v>
      </c>
      <c r="D61" s="196"/>
      <c r="E61" s="196">
        <f>E62+E63</f>
        <v>0</v>
      </c>
      <c r="F61" s="197">
        <f>F62+F63</f>
        <v>0.45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199" t="s">
        <v>10</v>
      </c>
      <c r="B62" s="196">
        <f t="shared" si="0"/>
        <v>0.45</v>
      </c>
      <c r="C62" s="196"/>
      <c r="D62" s="196"/>
      <c r="E62" s="196"/>
      <c r="F62" s="197">
        <v>0.45</v>
      </c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199" t="s">
        <v>7</v>
      </c>
      <c r="B63" s="196">
        <f t="shared" si="0"/>
        <v>0</v>
      </c>
      <c r="C63" s="196">
        <f>C64+C66</f>
        <v>0</v>
      </c>
      <c r="D63" s="196"/>
      <c r="E63" s="196"/>
      <c r="F63" s="197">
        <f>F64+F66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199" t="s">
        <v>8</v>
      </c>
      <c r="B64" s="196">
        <f t="shared" si="0"/>
        <v>0</v>
      </c>
      <c r="C64" s="196"/>
      <c r="D64" s="196"/>
      <c r="E64" s="196"/>
      <c r="F64" s="20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199" t="s">
        <v>39</v>
      </c>
      <c r="B65" s="196">
        <f>C65+D65+E65+F65</f>
        <v>0</v>
      </c>
      <c r="C65" s="200"/>
      <c r="D65" s="200"/>
      <c r="E65" s="200"/>
      <c r="F65" s="201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199" t="s">
        <v>9</v>
      </c>
      <c r="B66" s="196">
        <f t="shared" si="0"/>
        <v>0</v>
      </c>
      <c r="C66" s="196"/>
      <c r="D66" s="196"/>
      <c r="E66" s="196"/>
      <c r="F66" s="201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195" t="s">
        <v>48</v>
      </c>
      <c r="B67" s="196">
        <f t="shared" si="0"/>
        <v>2506.942</v>
      </c>
      <c r="C67" s="196">
        <f>C68+C69+C71</f>
        <v>2455.067</v>
      </c>
      <c r="D67" s="196">
        <f>D68+D69+D71</f>
        <v>0</v>
      </c>
      <c r="E67" s="196">
        <f>E68+E69+E71</f>
        <v>51.875</v>
      </c>
      <c r="F67" s="196">
        <f>F68+F69+F71</f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199" t="s">
        <v>10</v>
      </c>
      <c r="B68" s="196">
        <f t="shared" si="0"/>
        <v>2323.122</v>
      </c>
      <c r="C68" s="196">
        <f>2455.067-C69</f>
        <v>2271.247</v>
      </c>
      <c r="D68" s="196"/>
      <c r="E68" s="196">
        <v>51.875</v>
      </c>
      <c r="F68" s="197"/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28" t="s">
        <v>79</v>
      </c>
      <c r="B69" s="202">
        <f>C69+D69+E69+F69</f>
        <v>183.82</v>
      </c>
      <c r="C69" s="202">
        <v>183.82</v>
      </c>
      <c r="D69" s="230"/>
      <c r="E69" s="230"/>
      <c r="F69" s="19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198" t="s">
        <v>31</v>
      </c>
      <c r="B70" s="203">
        <f>C70+D70+E70+F70</f>
        <v>0.313</v>
      </c>
      <c r="C70" s="202">
        <v>0.313</v>
      </c>
      <c r="D70" s="230"/>
      <c r="E70" s="230"/>
      <c r="F70" s="197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199" t="s">
        <v>7</v>
      </c>
      <c r="B71" s="196">
        <f aca="true" t="shared" si="1" ref="B71:B143">C71+D71+E71+F71</f>
        <v>0</v>
      </c>
      <c r="C71" s="196">
        <f>C72+C73+C74</f>
        <v>0</v>
      </c>
      <c r="D71" s="196">
        <f>D72+D73+D74</f>
        <v>0</v>
      </c>
      <c r="E71" s="196">
        <f>E72+E73+E74</f>
        <v>0</v>
      </c>
      <c r="F71" s="197">
        <f>F72+F73+F74</f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199" t="s">
        <v>8</v>
      </c>
      <c r="B72" s="196">
        <f t="shared" si="1"/>
        <v>0</v>
      </c>
      <c r="C72" s="196"/>
      <c r="D72" s="196"/>
      <c r="E72" s="196"/>
      <c r="F72" s="20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199" t="s">
        <v>39</v>
      </c>
      <c r="B73" s="196">
        <f>C73+D73+E73+F73</f>
        <v>0</v>
      </c>
      <c r="C73" s="200"/>
      <c r="D73" s="200"/>
      <c r="E73" s="200"/>
      <c r="F73" s="201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199" t="s">
        <v>9</v>
      </c>
      <c r="B74" s="196">
        <f t="shared" si="1"/>
        <v>0</v>
      </c>
      <c r="C74" s="196"/>
      <c r="D74" s="196"/>
      <c r="E74" s="196"/>
      <c r="F74" s="20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231" t="s">
        <v>16</v>
      </c>
      <c r="B75" s="196">
        <f t="shared" si="1"/>
        <v>637.789</v>
      </c>
      <c r="C75" s="196">
        <f>C76+C77</f>
        <v>0</v>
      </c>
      <c r="D75" s="196">
        <f>D76+D77</f>
        <v>0</v>
      </c>
      <c r="E75" s="196">
        <f>E76+E77+E79</f>
        <v>491.585</v>
      </c>
      <c r="F75" s="197">
        <f>F76+F77+F79</f>
        <v>146.204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199" t="s">
        <v>10</v>
      </c>
      <c r="B76" s="196">
        <f t="shared" si="1"/>
        <v>564.553</v>
      </c>
      <c r="C76" s="196"/>
      <c r="D76" s="196"/>
      <c r="E76" s="196">
        <f>491.585-E77</f>
        <v>479.62</v>
      </c>
      <c r="F76" s="197">
        <f>146.204-F77</f>
        <v>84.933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198" t="s">
        <v>80</v>
      </c>
      <c r="B77" s="196">
        <f t="shared" si="1"/>
        <v>73.236</v>
      </c>
      <c r="C77" s="196"/>
      <c r="D77" s="196"/>
      <c r="E77" s="200">
        <v>11.965</v>
      </c>
      <c r="F77" s="201">
        <v>61.271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198" t="s">
        <v>26</v>
      </c>
      <c r="B78" s="196">
        <f t="shared" si="1"/>
        <v>0.11599999999999999</v>
      </c>
      <c r="C78" s="196"/>
      <c r="D78" s="196"/>
      <c r="E78" s="200">
        <v>0.023</v>
      </c>
      <c r="F78" s="201">
        <v>0.093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199" t="s">
        <v>7</v>
      </c>
      <c r="B79" s="196">
        <f t="shared" si="1"/>
        <v>0</v>
      </c>
      <c r="C79" s="196">
        <f>C80+C81+C82</f>
        <v>0</v>
      </c>
      <c r="D79" s="196">
        <f>D80+D81+D82</f>
        <v>0</v>
      </c>
      <c r="E79" s="196">
        <f>E80+E81+E82</f>
        <v>0</v>
      </c>
      <c r="F79" s="197">
        <f>F80+F81+F82</f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199" t="s">
        <v>8</v>
      </c>
      <c r="B80" s="196">
        <f t="shared" si="1"/>
        <v>0</v>
      </c>
      <c r="C80" s="200"/>
      <c r="D80" s="196"/>
      <c r="E80" s="200"/>
      <c r="F80" s="201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199" t="s">
        <v>39</v>
      </c>
      <c r="B81" s="196">
        <f>C81+D81+E81+F81</f>
        <v>0</v>
      </c>
      <c r="C81" s="200"/>
      <c r="D81" s="200"/>
      <c r="E81" s="200"/>
      <c r="F81" s="20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199" t="s">
        <v>9</v>
      </c>
      <c r="B82" s="196">
        <f t="shared" si="1"/>
        <v>0</v>
      </c>
      <c r="C82" s="200"/>
      <c r="D82" s="196"/>
      <c r="E82" s="200"/>
      <c r="F82" s="201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31" t="s">
        <v>4</v>
      </c>
      <c r="B83" s="196">
        <f t="shared" si="1"/>
        <v>380.677</v>
      </c>
      <c r="C83" s="196">
        <f>C84+C85</f>
        <v>380.677</v>
      </c>
      <c r="D83" s="196"/>
      <c r="E83" s="196"/>
      <c r="F83" s="197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198" t="s">
        <v>21</v>
      </c>
      <c r="B84" s="196">
        <f t="shared" si="1"/>
        <v>380.677</v>
      </c>
      <c r="C84" s="196">
        <f>380.677</f>
        <v>380.677</v>
      </c>
      <c r="D84" s="196"/>
      <c r="E84" s="196"/>
      <c r="F84" s="197"/>
      <c r="G84" s="120"/>
      <c r="H84" s="120"/>
    </row>
    <row r="85" spans="1:8" s="30" customFormat="1" ht="32.25" customHeight="1">
      <c r="A85" s="199" t="s">
        <v>7</v>
      </c>
      <c r="B85" s="196">
        <f t="shared" si="1"/>
        <v>0</v>
      </c>
      <c r="C85" s="196">
        <f>C86+C87+C88</f>
        <v>0</v>
      </c>
      <c r="D85" s="196">
        <f>D86+D87+D88</f>
        <v>0</v>
      </c>
      <c r="E85" s="196">
        <f>E86+E87+E88</f>
        <v>0</v>
      </c>
      <c r="F85" s="197">
        <f>F86+F87+F88</f>
        <v>0</v>
      </c>
      <c r="G85" s="120"/>
      <c r="H85" s="120"/>
    </row>
    <row r="86" spans="1:18" s="3" customFormat="1" ht="32.25" customHeight="1">
      <c r="A86" s="199" t="s">
        <v>8</v>
      </c>
      <c r="B86" s="196">
        <f t="shared" si="1"/>
        <v>0</v>
      </c>
      <c r="C86" s="200"/>
      <c r="D86" s="196"/>
      <c r="E86" s="196"/>
      <c r="F86" s="197"/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199" t="s">
        <v>39</v>
      </c>
      <c r="B87" s="196">
        <f>C87+D87+E87+F87</f>
        <v>0</v>
      </c>
      <c r="C87" s="200"/>
      <c r="D87" s="200"/>
      <c r="E87" s="200"/>
      <c r="F87" s="201"/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199" t="s">
        <v>9</v>
      </c>
      <c r="B88" s="196">
        <f t="shared" si="1"/>
        <v>0</v>
      </c>
      <c r="C88" s="200"/>
      <c r="D88" s="196"/>
      <c r="E88" s="196"/>
      <c r="F88" s="197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195" t="s">
        <v>58</v>
      </c>
      <c r="B89" s="196">
        <f t="shared" si="1"/>
        <v>1624.781</v>
      </c>
      <c r="C89" s="196">
        <f>C90+C91+C93</f>
        <v>1045.82</v>
      </c>
      <c r="D89" s="196">
        <f>D90+D93</f>
        <v>0</v>
      </c>
      <c r="E89" s="196">
        <f>E90+E91+E93</f>
        <v>192.695</v>
      </c>
      <c r="F89" s="197">
        <f>F90+F91+F93</f>
        <v>386.26599999999996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199" t="s">
        <v>10</v>
      </c>
      <c r="B90" s="196">
        <f>C90+D90+E90+F90</f>
        <v>503.087</v>
      </c>
      <c r="C90" s="196">
        <f>1045.82-C91</f>
        <v>208.06399999999996</v>
      </c>
      <c r="D90" s="196"/>
      <c r="E90" s="196">
        <f>192.695-E91</f>
        <v>190.147</v>
      </c>
      <c r="F90" s="197">
        <v>104.876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198" t="s">
        <v>81</v>
      </c>
      <c r="B91" s="202">
        <f>C91+D91+E91+F91</f>
        <v>840.304</v>
      </c>
      <c r="C91" s="264">
        <v>837.756</v>
      </c>
      <c r="D91" s="202"/>
      <c r="E91" s="202">
        <v>2.548</v>
      </c>
      <c r="F91" s="19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198" t="s">
        <v>26</v>
      </c>
      <c r="B92" s="203">
        <f>C92+D92+E92+F92</f>
        <v>2.77</v>
      </c>
      <c r="C92" s="202">
        <v>2.766</v>
      </c>
      <c r="D92" s="203"/>
      <c r="E92" s="203">
        <v>0.004</v>
      </c>
      <c r="F92" s="210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199" t="s">
        <v>7</v>
      </c>
      <c r="B93" s="196">
        <f t="shared" si="1"/>
        <v>281.39</v>
      </c>
      <c r="C93" s="196">
        <v>0</v>
      </c>
      <c r="D93" s="196">
        <v>0</v>
      </c>
      <c r="E93" s="196">
        <f>E94+E95+E96</f>
        <v>0</v>
      </c>
      <c r="F93" s="197">
        <f>F94+F95+F96</f>
        <v>281.39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199" t="s">
        <v>8</v>
      </c>
      <c r="B94" s="196">
        <f t="shared" si="1"/>
        <v>242.253</v>
      </c>
      <c r="C94" s="200"/>
      <c r="D94" s="196"/>
      <c r="E94" s="196"/>
      <c r="F94" s="197">
        <v>242.253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199" t="s">
        <v>39</v>
      </c>
      <c r="B95" s="196">
        <f>C95+D95+E95+F95</f>
        <v>0</v>
      </c>
      <c r="C95" s="200"/>
      <c r="D95" s="200"/>
      <c r="E95" s="200"/>
      <c r="F95" s="201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199" t="s">
        <v>9</v>
      </c>
      <c r="B96" s="196">
        <f t="shared" si="1"/>
        <v>39.137</v>
      </c>
      <c r="C96" s="200"/>
      <c r="D96" s="196"/>
      <c r="E96" s="196"/>
      <c r="F96" s="197">
        <v>39.137</v>
      </c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195" t="s">
        <v>15</v>
      </c>
      <c r="B97" s="196">
        <f t="shared" si="1"/>
        <v>1899.949</v>
      </c>
      <c r="C97" s="196">
        <f>C98+C99</f>
        <v>1894.749</v>
      </c>
      <c r="D97" s="196"/>
      <c r="E97" s="196"/>
      <c r="F97" s="197">
        <f>F98+F101</f>
        <v>5.2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199" t="s">
        <v>10</v>
      </c>
      <c r="B98" s="196">
        <f t="shared" si="1"/>
        <v>813.3210000000001</v>
      </c>
      <c r="C98" s="209">
        <f>1894.749-C99</f>
        <v>808.1210000000001</v>
      </c>
      <c r="D98" s="209"/>
      <c r="E98" s="209"/>
      <c r="F98" s="210">
        <v>5.2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198" t="s">
        <v>38</v>
      </c>
      <c r="B99" s="196">
        <f t="shared" si="1"/>
        <v>1086.628</v>
      </c>
      <c r="C99" s="265">
        <v>1086.628</v>
      </c>
      <c r="D99" s="196"/>
      <c r="E99" s="196"/>
      <c r="F99" s="197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198" t="s">
        <v>26</v>
      </c>
      <c r="B100" s="203">
        <f t="shared" si="1"/>
        <v>1.409</v>
      </c>
      <c r="C100" s="232">
        <v>1.409</v>
      </c>
      <c r="D100" s="225"/>
      <c r="E100" s="225"/>
      <c r="F100" s="210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199" t="s">
        <v>7</v>
      </c>
      <c r="B101" s="196">
        <f t="shared" si="1"/>
        <v>0</v>
      </c>
      <c r="C101" s="196">
        <f>C102+C103+C104</f>
        <v>0</v>
      </c>
      <c r="D101" s="196">
        <f>D102+D103+D104</f>
        <v>0</v>
      </c>
      <c r="E101" s="196">
        <f>E102+E103+E104</f>
        <v>0</v>
      </c>
      <c r="F101" s="197">
        <f>F102+F103+F104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199" t="s">
        <v>8</v>
      </c>
      <c r="B102" s="196">
        <f t="shared" si="1"/>
        <v>0</v>
      </c>
      <c r="C102" s="200"/>
      <c r="D102" s="196"/>
      <c r="E102" s="200"/>
      <c r="F102" s="201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199" t="s">
        <v>39</v>
      </c>
      <c r="B103" s="196">
        <f>C103+D103+E103+F103</f>
        <v>0</v>
      </c>
      <c r="C103" s="200"/>
      <c r="D103" s="200"/>
      <c r="E103" s="200"/>
      <c r="F103" s="201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199" t="s">
        <v>9</v>
      </c>
      <c r="B104" s="196">
        <f t="shared" si="1"/>
        <v>0</v>
      </c>
      <c r="C104" s="200"/>
      <c r="D104" s="196"/>
      <c r="E104" s="200"/>
      <c r="F104" s="201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195" t="s">
        <v>57</v>
      </c>
      <c r="B105" s="196">
        <f t="shared" si="1"/>
        <v>18.823</v>
      </c>
      <c r="C105" s="196">
        <f>C106+C107</f>
        <v>0</v>
      </c>
      <c r="D105" s="196"/>
      <c r="E105" s="196">
        <f>E106+E107</f>
        <v>18.823</v>
      </c>
      <c r="F105" s="197">
        <f>F106+F107</f>
        <v>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199" t="s">
        <v>10</v>
      </c>
      <c r="B106" s="196">
        <f t="shared" si="1"/>
        <v>18.823</v>
      </c>
      <c r="C106" s="209"/>
      <c r="D106" s="209"/>
      <c r="E106" s="209">
        <v>18.823</v>
      </c>
      <c r="F106" s="2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199" t="s">
        <v>7</v>
      </c>
      <c r="B107" s="196">
        <f t="shared" si="1"/>
        <v>0</v>
      </c>
      <c r="C107" s="196">
        <f>C108+C109+C110</f>
        <v>0</v>
      </c>
      <c r="D107" s="196">
        <f>D108+D109+D110</f>
        <v>0</v>
      </c>
      <c r="E107" s="196">
        <f>E108+E109+E110</f>
        <v>0</v>
      </c>
      <c r="F107" s="197">
        <f>F108+F109+F110</f>
        <v>0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199" t="s">
        <v>8</v>
      </c>
      <c r="B108" s="196">
        <f t="shared" si="1"/>
        <v>0</v>
      </c>
      <c r="C108" s="200"/>
      <c r="D108" s="196"/>
      <c r="E108" s="200"/>
      <c r="F108" s="201"/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199" t="s">
        <v>39</v>
      </c>
      <c r="B109" s="196">
        <f>C109+D109+E109+F109</f>
        <v>0</v>
      </c>
      <c r="C109" s="200"/>
      <c r="D109" s="200"/>
      <c r="E109" s="200"/>
      <c r="F109" s="201"/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199" t="s">
        <v>9</v>
      </c>
      <c r="B110" s="196">
        <f t="shared" si="1"/>
        <v>0</v>
      </c>
      <c r="C110" s="200"/>
      <c r="D110" s="196"/>
      <c r="E110" s="200"/>
      <c r="F110" s="201"/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195" t="s">
        <v>14</v>
      </c>
      <c r="B111" s="196">
        <f t="shared" si="1"/>
        <v>100.018</v>
      </c>
      <c r="C111" s="200"/>
      <c r="D111" s="196"/>
      <c r="E111" s="196"/>
      <c r="F111" s="197">
        <f>F112+F113</f>
        <v>100.018</v>
      </c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199" t="s">
        <v>10</v>
      </c>
      <c r="B112" s="196">
        <f t="shared" si="1"/>
        <v>3.616</v>
      </c>
      <c r="C112" s="200"/>
      <c r="D112" s="196"/>
      <c r="E112" s="196"/>
      <c r="F112" s="210">
        <v>3.616</v>
      </c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199" t="s">
        <v>7</v>
      </c>
      <c r="B113" s="196">
        <f t="shared" si="1"/>
        <v>96.402</v>
      </c>
      <c r="C113" s="196">
        <f>C114+C115+C116</f>
        <v>0</v>
      </c>
      <c r="D113" s="196">
        <f>D114+D115+D116</f>
        <v>0</v>
      </c>
      <c r="E113" s="196">
        <f>E114+E115+E116</f>
        <v>0</v>
      </c>
      <c r="F113" s="197">
        <f>F114+F115+F116</f>
        <v>96.402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199" t="s">
        <v>8</v>
      </c>
      <c r="B114" s="196">
        <f t="shared" si="1"/>
        <v>96.402</v>
      </c>
      <c r="C114" s="200"/>
      <c r="D114" s="196"/>
      <c r="E114" s="200"/>
      <c r="F114" s="201">
        <v>96.402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199" t="s">
        <v>39</v>
      </c>
      <c r="B115" s="196">
        <f>C115+D115+E115+F115</f>
        <v>0</v>
      </c>
      <c r="C115" s="200"/>
      <c r="D115" s="200"/>
      <c r="E115" s="200"/>
      <c r="F115" s="201"/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199" t="s">
        <v>9</v>
      </c>
      <c r="B116" s="196">
        <f t="shared" si="1"/>
        <v>0</v>
      </c>
      <c r="C116" s="200"/>
      <c r="D116" s="196"/>
      <c r="E116" s="200"/>
      <c r="F116" s="201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195" t="s">
        <v>18</v>
      </c>
      <c r="B117" s="196">
        <f t="shared" si="1"/>
        <v>219.67400000000004</v>
      </c>
      <c r="C117" s="196">
        <f>C118+C119+C121</f>
        <v>0</v>
      </c>
      <c r="D117" s="196">
        <f>D118+D119+D121</f>
        <v>0</v>
      </c>
      <c r="E117" s="196">
        <f>E118+E119+E121</f>
        <v>11.848</v>
      </c>
      <c r="F117" s="197">
        <f>F118+F119+F121</f>
        <v>207.82600000000002</v>
      </c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199" t="s">
        <v>10</v>
      </c>
      <c r="B118" s="196">
        <f t="shared" si="1"/>
        <v>64.9</v>
      </c>
      <c r="C118" s="200"/>
      <c r="D118" s="196"/>
      <c r="E118" s="209">
        <v>11.848</v>
      </c>
      <c r="F118" s="210">
        <f>54.908-F119</f>
        <v>53.052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198" t="s">
        <v>82</v>
      </c>
      <c r="B119" s="202">
        <f t="shared" si="1"/>
        <v>1.856</v>
      </c>
      <c r="C119" s="202"/>
      <c r="D119" s="202"/>
      <c r="E119" s="202"/>
      <c r="F119" s="227">
        <v>1.856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198" t="s">
        <v>26</v>
      </c>
      <c r="B120" s="202">
        <f t="shared" si="1"/>
        <v>0.003</v>
      </c>
      <c r="C120" s="202"/>
      <c r="D120" s="202"/>
      <c r="E120" s="202"/>
      <c r="F120" s="227">
        <v>0.003</v>
      </c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199" t="s">
        <v>7</v>
      </c>
      <c r="B121" s="196">
        <f t="shared" si="1"/>
        <v>152.918</v>
      </c>
      <c r="C121" s="196">
        <f>C122+C123+C124</f>
        <v>0</v>
      </c>
      <c r="D121" s="196">
        <f>D122+D123+D124</f>
        <v>0</v>
      </c>
      <c r="E121" s="196">
        <f>E122+E123+E124</f>
        <v>0</v>
      </c>
      <c r="F121" s="197">
        <f>F122+F123+F124</f>
        <v>152.918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199" t="s">
        <v>8</v>
      </c>
      <c r="B122" s="196">
        <f t="shared" si="1"/>
        <v>0</v>
      </c>
      <c r="C122" s="200"/>
      <c r="D122" s="196"/>
      <c r="E122" s="196"/>
      <c r="F122" s="197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199" t="s">
        <v>39</v>
      </c>
      <c r="B123" s="196">
        <f>C123+D123+E123+F123</f>
        <v>0</v>
      </c>
      <c r="C123" s="200"/>
      <c r="D123" s="200"/>
      <c r="E123" s="200"/>
      <c r="F123" s="201"/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199" t="s">
        <v>9</v>
      </c>
      <c r="B124" s="196">
        <f t="shared" si="1"/>
        <v>152.918</v>
      </c>
      <c r="C124" s="200"/>
      <c r="D124" s="196"/>
      <c r="E124" s="196"/>
      <c r="F124" s="197">
        <v>152.918</v>
      </c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195" t="s">
        <v>13</v>
      </c>
      <c r="B125" s="196">
        <f t="shared" si="1"/>
        <v>90.624</v>
      </c>
      <c r="C125" s="196">
        <f>C126+C127</f>
        <v>0</v>
      </c>
      <c r="D125" s="196">
        <f>D126+D127</f>
        <v>0</v>
      </c>
      <c r="E125" s="196">
        <f>E126+E127</f>
        <v>90.624</v>
      </c>
      <c r="F125" s="197">
        <f>F126+F127</f>
        <v>0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199" t="s">
        <v>10</v>
      </c>
      <c r="B126" s="196">
        <f t="shared" si="1"/>
        <v>90.624</v>
      </c>
      <c r="C126" s="209"/>
      <c r="D126" s="209"/>
      <c r="E126" s="209">
        <v>90.624</v>
      </c>
      <c r="F126" s="210"/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199" t="s">
        <v>7</v>
      </c>
      <c r="B127" s="196">
        <f t="shared" si="1"/>
        <v>0</v>
      </c>
      <c r="C127" s="196">
        <f>C128+C129+C130</f>
        <v>0</v>
      </c>
      <c r="D127" s="196">
        <f>D128+D129+D130</f>
        <v>0</v>
      </c>
      <c r="E127" s="196">
        <f>E128+E129+E130</f>
        <v>0</v>
      </c>
      <c r="F127" s="197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199" t="s">
        <v>8</v>
      </c>
      <c r="B128" s="196">
        <f t="shared" si="1"/>
        <v>0</v>
      </c>
      <c r="C128" s="200"/>
      <c r="D128" s="196"/>
      <c r="E128" s="200"/>
      <c r="F128" s="201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199" t="s">
        <v>39</v>
      </c>
      <c r="B129" s="196">
        <f>C129+D129+E129+F129</f>
        <v>0</v>
      </c>
      <c r="C129" s="200"/>
      <c r="D129" s="200"/>
      <c r="E129" s="200"/>
      <c r="F129" s="201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199" t="s">
        <v>9</v>
      </c>
      <c r="B130" s="196">
        <f t="shared" si="1"/>
        <v>0</v>
      </c>
      <c r="C130" s="200"/>
      <c r="D130" s="196"/>
      <c r="E130" s="200"/>
      <c r="F130" s="201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195" t="s">
        <v>62</v>
      </c>
      <c r="B131" s="196">
        <f t="shared" si="1"/>
        <v>24.347</v>
      </c>
      <c r="C131" s="196">
        <f>C132+C133</f>
        <v>0</v>
      </c>
      <c r="D131" s="196">
        <f>D132+D133</f>
        <v>0</v>
      </c>
      <c r="E131" s="196">
        <f>E132+E133</f>
        <v>0</v>
      </c>
      <c r="F131" s="197">
        <f>F132+F133</f>
        <v>24.347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199" t="s">
        <v>10</v>
      </c>
      <c r="B132" s="196">
        <f t="shared" si="1"/>
        <v>24.347</v>
      </c>
      <c r="C132" s="200"/>
      <c r="D132" s="196"/>
      <c r="E132" s="196"/>
      <c r="F132" s="210">
        <v>24.347</v>
      </c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199" t="s">
        <v>7</v>
      </c>
      <c r="B133" s="196">
        <f t="shared" si="1"/>
        <v>0</v>
      </c>
      <c r="C133" s="196">
        <f>C134+C135+C136</f>
        <v>0</v>
      </c>
      <c r="D133" s="196">
        <f>D134+D135+D136</f>
        <v>0</v>
      </c>
      <c r="E133" s="196">
        <f>E134+E135+E136</f>
        <v>0</v>
      </c>
      <c r="F133" s="197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199" t="s">
        <v>8</v>
      </c>
      <c r="B134" s="196">
        <f t="shared" si="1"/>
        <v>0</v>
      </c>
      <c r="C134" s="200"/>
      <c r="D134" s="196"/>
      <c r="E134" s="200"/>
      <c r="F134" s="201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199" t="s">
        <v>39</v>
      </c>
      <c r="B135" s="196">
        <f>C135+D135+E135+F135</f>
        <v>0</v>
      </c>
      <c r="C135" s="200"/>
      <c r="D135" s="200"/>
      <c r="E135" s="200"/>
      <c r="F135" s="201"/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199" t="s">
        <v>9</v>
      </c>
      <c r="B136" s="196">
        <f t="shared" si="1"/>
        <v>0</v>
      </c>
      <c r="C136" s="200"/>
      <c r="D136" s="196"/>
      <c r="E136" s="200"/>
      <c r="F136" s="201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195" t="s">
        <v>83</v>
      </c>
      <c r="B137" s="196">
        <f t="shared" si="1"/>
        <v>376.779</v>
      </c>
      <c r="C137" s="196">
        <f>C138+C139</f>
        <v>323.01</v>
      </c>
      <c r="D137" s="196">
        <f>D138+D139</f>
        <v>0</v>
      </c>
      <c r="E137" s="196">
        <f>E138+E139</f>
        <v>53.769</v>
      </c>
      <c r="F137" s="19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199" t="s">
        <v>10</v>
      </c>
      <c r="B138" s="196">
        <f t="shared" si="1"/>
        <v>376.779</v>
      </c>
      <c r="C138" s="196">
        <v>323.01</v>
      </c>
      <c r="D138" s="196"/>
      <c r="E138" s="196">
        <v>53.769</v>
      </c>
      <c r="F138" s="210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199" t="s">
        <v>7</v>
      </c>
      <c r="B139" s="196">
        <f t="shared" si="1"/>
        <v>0</v>
      </c>
      <c r="C139" s="196">
        <f>C140+C141+C142</f>
        <v>0</v>
      </c>
      <c r="D139" s="196">
        <f>D140+D141+D142</f>
        <v>0</v>
      </c>
      <c r="E139" s="196">
        <f>E140+E141+E142</f>
        <v>0</v>
      </c>
      <c r="F139" s="197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199" t="s">
        <v>8</v>
      </c>
      <c r="B140" s="196">
        <f t="shared" si="1"/>
        <v>0</v>
      </c>
      <c r="C140" s="200"/>
      <c r="D140" s="196"/>
      <c r="E140" s="196"/>
      <c r="F140" s="19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199" t="s">
        <v>39</v>
      </c>
      <c r="B141" s="196">
        <f>C141+D141+E141+F141</f>
        <v>0</v>
      </c>
      <c r="C141" s="200"/>
      <c r="D141" s="200"/>
      <c r="E141" s="200"/>
      <c r="F141" s="201"/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199" t="s">
        <v>9</v>
      </c>
      <c r="B142" s="196">
        <f t="shared" si="1"/>
        <v>0</v>
      </c>
      <c r="C142" s="200"/>
      <c r="D142" s="196"/>
      <c r="E142" s="196"/>
      <c r="F142" s="19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195" t="s">
        <v>56</v>
      </c>
      <c r="B143" s="196">
        <f t="shared" si="1"/>
        <v>185.02300000000002</v>
      </c>
      <c r="C143" s="196">
        <f>C144+C145</f>
        <v>0</v>
      </c>
      <c r="D143" s="196">
        <f>D144+D145</f>
        <v>0</v>
      </c>
      <c r="E143" s="196">
        <f>E144+E145</f>
        <v>185.02300000000002</v>
      </c>
      <c r="F143" s="197">
        <f>F144+F145</f>
        <v>0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199" t="s">
        <v>10</v>
      </c>
      <c r="B144" s="196">
        <f aca="true" t="shared" si="2" ref="B144:B183">C144+D144+E144+F144</f>
        <v>78.221</v>
      </c>
      <c r="C144" s="200"/>
      <c r="D144" s="196"/>
      <c r="E144" s="196">
        <v>78.221</v>
      </c>
      <c r="F144" s="210"/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199" t="s">
        <v>7</v>
      </c>
      <c r="B145" s="196">
        <f t="shared" si="2"/>
        <v>106.802</v>
      </c>
      <c r="C145" s="196">
        <f>C146+C147+C148</f>
        <v>0</v>
      </c>
      <c r="D145" s="196">
        <f>D146+D147+D148</f>
        <v>0</v>
      </c>
      <c r="E145" s="196">
        <f>E146+E147+E148</f>
        <v>106.802</v>
      </c>
      <c r="F145" s="197">
        <f>F146+F147+F148</f>
        <v>0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199" t="s">
        <v>8</v>
      </c>
      <c r="B146" s="196">
        <f t="shared" si="2"/>
        <v>106.802</v>
      </c>
      <c r="C146" s="200"/>
      <c r="D146" s="196"/>
      <c r="E146" s="196">
        <v>106.802</v>
      </c>
      <c r="F146" s="197"/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199" t="s">
        <v>39</v>
      </c>
      <c r="B147" s="196">
        <f t="shared" si="2"/>
        <v>0</v>
      </c>
      <c r="C147" s="200"/>
      <c r="D147" s="200"/>
      <c r="E147" s="200"/>
      <c r="F147" s="201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199" t="s">
        <v>9</v>
      </c>
      <c r="B148" s="196">
        <f t="shared" si="2"/>
        <v>0</v>
      </c>
      <c r="C148" s="200"/>
      <c r="D148" s="196"/>
      <c r="E148" s="196"/>
      <c r="F148" s="197"/>
      <c r="G148" s="120"/>
      <c r="H148" s="120"/>
    </row>
    <row r="149" spans="1:8" s="30" customFormat="1" ht="32.25" customHeight="1">
      <c r="A149" s="195" t="s">
        <v>6</v>
      </c>
      <c r="B149" s="196">
        <f t="shared" si="2"/>
        <v>1475.3</v>
      </c>
      <c r="C149" s="196">
        <f>C150+C151</f>
        <v>0</v>
      </c>
      <c r="D149" s="196"/>
      <c r="E149" s="196">
        <f>E150+E151</f>
        <v>760.413</v>
      </c>
      <c r="F149" s="197">
        <f>F150+F151</f>
        <v>714.887</v>
      </c>
      <c r="G149" s="120"/>
      <c r="H149" s="120"/>
    </row>
    <row r="150" spans="1:18" s="3" customFormat="1" ht="32.25" customHeight="1">
      <c r="A150" s="199" t="s">
        <v>10</v>
      </c>
      <c r="B150" s="196">
        <f t="shared" si="2"/>
        <v>647.386</v>
      </c>
      <c r="C150" s="196"/>
      <c r="D150" s="196"/>
      <c r="E150" s="196">
        <v>519.002</v>
      </c>
      <c r="F150" s="197">
        <v>128.384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199" t="s">
        <v>7</v>
      </c>
      <c r="B151" s="196">
        <f t="shared" si="2"/>
        <v>827.914</v>
      </c>
      <c r="C151" s="196">
        <f>C152+C153+C154</f>
        <v>0</v>
      </c>
      <c r="D151" s="196">
        <f>D152+D153+D154</f>
        <v>0</v>
      </c>
      <c r="E151" s="196">
        <f>E152+E153+E154</f>
        <v>241.41100000000003</v>
      </c>
      <c r="F151" s="197">
        <f>F152+F153+F154</f>
        <v>586.5029999999999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199" t="s">
        <v>8</v>
      </c>
      <c r="B152" s="196">
        <f t="shared" si="2"/>
        <v>619.664</v>
      </c>
      <c r="C152" s="196"/>
      <c r="D152" s="196"/>
      <c r="E152" s="200">
        <v>203.562</v>
      </c>
      <c r="F152" s="201">
        <v>416.102</v>
      </c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199" t="s">
        <v>39</v>
      </c>
      <c r="B153" s="196">
        <f>C153+D153+E153+F153</f>
        <v>96.084</v>
      </c>
      <c r="C153" s="200"/>
      <c r="D153" s="200"/>
      <c r="E153" s="200">
        <v>35.376</v>
      </c>
      <c r="F153" s="201">
        <v>60.708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199" t="s">
        <v>9</v>
      </c>
      <c r="B154" s="196">
        <f t="shared" si="2"/>
        <v>112.166</v>
      </c>
      <c r="C154" s="196"/>
      <c r="D154" s="196"/>
      <c r="E154" s="200">
        <v>2.473</v>
      </c>
      <c r="F154" s="201">
        <v>109.693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195" t="s">
        <v>5</v>
      </c>
      <c r="B155" s="196">
        <f t="shared" si="2"/>
        <v>2786.854</v>
      </c>
      <c r="C155" s="196">
        <f>C156+C157+C159</f>
        <v>349.418</v>
      </c>
      <c r="D155" s="196">
        <f>D156+D159</f>
        <v>0</v>
      </c>
      <c r="E155" s="196">
        <f>E156+E159</f>
        <v>1477.593</v>
      </c>
      <c r="F155" s="197">
        <f>F156+F159</f>
        <v>959.843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199" t="s">
        <v>10</v>
      </c>
      <c r="B156" s="196">
        <f t="shared" si="2"/>
        <v>1336.084</v>
      </c>
      <c r="C156" s="196">
        <f>349.418-C157</f>
        <v>0</v>
      </c>
      <c r="D156" s="196"/>
      <c r="E156" s="196">
        <v>1123.181</v>
      </c>
      <c r="F156" s="197">
        <v>212.903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198" t="s">
        <v>50</v>
      </c>
      <c r="B157" s="196">
        <f t="shared" si="2"/>
        <v>349.418</v>
      </c>
      <c r="C157" s="232">
        <v>349.418</v>
      </c>
      <c r="D157" s="196"/>
      <c r="E157" s="196"/>
      <c r="F157" s="19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198" t="s">
        <v>26</v>
      </c>
      <c r="B158" s="203">
        <f t="shared" si="2"/>
        <v>0.534</v>
      </c>
      <c r="C158" s="232">
        <v>0.534</v>
      </c>
      <c r="D158" s="225"/>
      <c r="E158" s="225"/>
      <c r="F158" s="210"/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199" t="s">
        <v>7</v>
      </c>
      <c r="B159" s="196">
        <f t="shared" si="2"/>
        <v>1101.3519999999999</v>
      </c>
      <c r="C159" s="196">
        <f>C160+C161+C162</f>
        <v>0</v>
      </c>
      <c r="D159" s="196">
        <f>D160+D161+D162</f>
        <v>0</v>
      </c>
      <c r="E159" s="196">
        <f>E160+E161+E162</f>
        <v>354.41200000000003</v>
      </c>
      <c r="F159" s="197">
        <f>F160+F161+F162</f>
        <v>746.9399999999999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199" t="s">
        <v>8</v>
      </c>
      <c r="B160" s="196">
        <f t="shared" si="2"/>
        <v>877.711</v>
      </c>
      <c r="C160" s="200"/>
      <c r="D160" s="200"/>
      <c r="E160" s="200">
        <v>246.124</v>
      </c>
      <c r="F160" s="201">
        <v>631.587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199" t="s">
        <v>39</v>
      </c>
      <c r="B161" s="196">
        <f>C161+D161+E161+F161</f>
        <v>211.272</v>
      </c>
      <c r="C161" s="200"/>
      <c r="D161" s="200"/>
      <c r="E161" s="200">
        <v>95.919</v>
      </c>
      <c r="F161" s="201">
        <v>115.353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>
      <c r="A162" s="199" t="s">
        <v>9</v>
      </c>
      <c r="B162" s="196">
        <f t="shared" si="2"/>
        <v>12.369</v>
      </c>
      <c r="C162" s="200"/>
      <c r="D162" s="200"/>
      <c r="E162" s="200">
        <v>12.369</v>
      </c>
      <c r="F162" s="201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>
      <c r="A163" s="195" t="s">
        <v>17</v>
      </c>
      <c r="B163" s="196">
        <f t="shared" si="2"/>
        <v>5061.375</v>
      </c>
      <c r="C163" s="196"/>
      <c r="D163" s="196"/>
      <c r="E163" s="196">
        <f>E164+E165</f>
        <v>1006.97</v>
      </c>
      <c r="F163" s="197">
        <f>F164+F165</f>
        <v>4054.405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199" t="s">
        <v>10</v>
      </c>
      <c r="B164" s="196">
        <f t="shared" si="2"/>
        <v>2123.967</v>
      </c>
      <c r="C164" s="196"/>
      <c r="D164" s="196"/>
      <c r="E164" s="196">
        <v>975.183</v>
      </c>
      <c r="F164" s="197">
        <v>1148.784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199" t="s">
        <v>7</v>
      </c>
      <c r="B165" s="196">
        <f t="shared" si="2"/>
        <v>2937.408</v>
      </c>
      <c r="C165" s="196">
        <f>C166+C167+C168</f>
        <v>0</v>
      </c>
      <c r="D165" s="196">
        <f>D166+D167+D168</f>
        <v>0</v>
      </c>
      <c r="E165" s="196">
        <f>E166+E167+E168</f>
        <v>31.787</v>
      </c>
      <c r="F165" s="197">
        <f>F166+F167+F168</f>
        <v>2905.621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199" t="s">
        <v>8</v>
      </c>
      <c r="B166" s="196">
        <f t="shared" si="2"/>
        <v>264.51</v>
      </c>
      <c r="C166" s="200"/>
      <c r="D166" s="196"/>
      <c r="E166" s="200">
        <v>13.189</v>
      </c>
      <c r="F166" s="201">
        <v>251.321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99" t="s">
        <v>39</v>
      </c>
      <c r="B167" s="196">
        <f>C167+D167+E167+F167</f>
        <v>0</v>
      </c>
      <c r="C167" s="200"/>
      <c r="D167" s="200"/>
      <c r="E167" s="200"/>
      <c r="F167" s="201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 thickBot="1">
      <c r="A168" s="211" t="s">
        <v>9</v>
      </c>
      <c r="B168" s="212">
        <f t="shared" si="2"/>
        <v>2672.898</v>
      </c>
      <c r="C168" s="213"/>
      <c r="D168" s="212"/>
      <c r="E168" s="213">
        <v>18.598</v>
      </c>
      <c r="F168" s="214">
        <v>2654.3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 thickBot="1">
      <c r="A169" s="246" t="s">
        <v>10</v>
      </c>
      <c r="B169" s="241">
        <f t="shared" si="2"/>
        <v>68273.368</v>
      </c>
      <c r="C169" s="242">
        <f>C170+C171+C175</f>
        <v>35125.38599999999</v>
      </c>
      <c r="D169" s="242">
        <f>D170+D171+D175</f>
        <v>1059.484</v>
      </c>
      <c r="E169" s="242">
        <f>E170+E171+E175</f>
        <v>21590.894000000008</v>
      </c>
      <c r="F169" s="243">
        <f>F170+F171+F175</f>
        <v>10497.604000000005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>
      <c r="A170" s="215" t="s">
        <v>40</v>
      </c>
      <c r="B170" s="216">
        <f t="shared" si="2"/>
        <v>51749.399000000005</v>
      </c>
      <c r="C170" s="217">
        <f>C9+C24+C32+C40+C48+C56+C62+C68+C76+C84+C90+C98+C106+C112+C118+C126+C132+C138+C144+C150+C156+C164</f>
        <v>20984.740999999995</v>
      </c>
      <c r="D170" s="217">
        <f>D9+D24+D32+D40+D48+D56+D62+D68+D76+D84+D90+D98+D106+D112+D118+D126+D132+D138+D144+D150+D156+D164</f>
        <v>739.6080000000001</v>
      </c>
      <c r="E170" s="217">
        <f>E9+E24+E32+E40+E48+E56+E62+E68+E76+E84+E90+E98+E106+E112+E118+E126+E132+E138+E144+E150+E156+E164</f>
        <v>19634.056000000008</v>
      </c>
      <c r="F170" s="218">
        <f>F9+F24+F32+F40+F48+F56+F62+F68+F76+F84+F90+F98+F106+F112+F118+F126+F132+F138+F144+F150+F156+F164</f>
        <v>10390.994000000004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>
      <c r="A171" s="215" t="s">
        <v>42</v>
      </c>
      <c r="B171" s="237">
        <f t="shared" si="2"/>
        <v>15400.619</v>
      </c>
      <c r="C171" s="196">
        <f aca="true" t="shared" si="3" ref="C171:F172">C10+C25+C33+C41+C49+C77+C69+C99+C91+C119+C157</f>
        <v>13017.295</v>
      </c>
      <c r="D171" s="196">
        <f t="shared" si="3"/>
        <v>319.876</v>
      </c>
      <c r="E171" s="196">
        <f t="shared" si="3"/>
        <v>1956.838</v>
      </c>
      <c r="F171" s="197">
        <f t="shared" si="3"/>
        <v>106.61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215" t="s">
        <v>41</v>
      </c>
      <c r="B172" s="237">
        <f t="shared" si="2"/>
        <v>27.263999999999996</v>
      </c>
      <c r="C172" s="196">
        <f t="shared" si="3"/>
        <v>22.757999999999996</v>
      </c>
      <c r="D172" s="196">
        <f t="shared" si="3"/>
        <v>1.037</v>
      </c>
      <c r="E172" s="196">
        <f t="shared" si="3"/>
        <v>3.2990000000000004</v>
      </c>
      <c r="F172" s="197">
        <f t="shared" si="3"/>
        <v>0.17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99" t="s">
        <v>45</v>
      </c>
      <c r="B173" s="237">
        <f t="shared" si="2"/>
        <v>1875.101</v>
      </c>
      <c r="C173" s="196">
        <f>C16</f>
        <v>1875.101</v>
      </c>
      <c r="D173" s="196">
        <f>D16</f>
        <v>0</v>
      </c>
      <c r="E173" s="196">
        <f>E16</f>
        <v>0</v>
      </c>
      <c r="F173" s="197">
        <f>F16</f>
        <v>0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>
      <c r="A174" s="215" t="s">
        <v>46</v>
      </c>
      <c r="B174" s="237">
        <f t="shared" si="2"/>
        <v>4.279</v>
      </c>
      <c r="C174" s="196">
        <f>C18</f>
        <v>4.279</v>
      </c>
      <c r="D174" s="196">
        <f>D18</f>
        <v>0</v>
      </c>
      <c r="E174" s="196">
        <f>E18</f>
        <v>0</v>
      </c>
      <c r="F174" s="197">
        <f>F18</f>
        <v>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3.25">
      <c r="A175" s="238" t="s">
        <v>22</v>
      </c>
      <c r="B175" s="237">
        <f t="shared" si="2"/>
        <v>1123.35</v>
      </c>
      <c r="C175" s="196">
        <f>C7</f>
        <v>1123.35</v>
      </c>
      <c r="D175" s="196"/>
      <c r="E175" s="196"/>
      <c r="F175" s="197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 thickBot="1">
      <c r="A176" s="238" t="s">
        <v>23</v>
      </c>
      <c r="B176" s="239">
        <f t="shared" si="2"/>
        <v>4.152</v>
      </c>
      <c r="C176" s="212">
        <f>C8</f>
        <v>4.152</v>
      </c>
      <c r="D176" s="212"/>
      <c r="E176" s="212"/>
      <c r="F176" s="240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233" t="s">
        <v>11</v>
      </c>
      <c r="B177" s="241">
        <f t="shared" si="2"/>
        <v>26642.815</v>
      </c>
      <c r="C177" s="242">
        <f>C178+C179+C180</f>
        <v>106.52499999999999</v>
      </c>
      <c r="D177" s="242">
        <f>D178+D179+D180</f>
        <v>1.43</v>
      </c>
      <c r="E177" s="242">
        <f>E178+E179+E180</f>
        <v>1825.936</v>
      </c>
      <c r="F177" s="243">
        <f>F178+F179+F180</f>
        <v>24708.924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>
      <c r="A178" s="244" t="s">
        <v>8</v>
      </c>
      <c r="B178" s="216">
        <f t="shared" si="2"/>
        <v>10281.363999999998</v>
      </c>
      <c r="C178" s="217">
        <f aca="true" t="shared" si="4" ref="C178:F180">C13+C20+C28+C36+C44+C52+C58+C64+C72+C80+C86+C94+C102+C108+C114+C122+C128+C134+C140+C146+C152+C160+C166</f>
        <v>20.863</v>
      </c>
      <c r="D178" s="217">
        <f t="shared" si="4"/>
        <v>0</v>
      </c>
      <c r="E178" s="217">
        <f t="shared" si="4"/>
        <v>911.1170000000001</v>
      </c>
      <c r="F178" s="218">
        <f t="shared" si="4"/>
        <v>9349.383999999998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3.25">
      <c r="A179" s="245" t="s">
        <v>39</v>
      </c>
      <c r="B179" s="237">
        <f>C179+D179+E179+F179</f>
        <v>367.845</v>
      </c>
      <c r="C179" s="196">
        <f t="shared" si="4"/>
        <v>0</v>
      </c>
      <c r="D179" s="196">
        <f t="shared" si="4"/>
        <v>0</v>
      </c>
      <c r="E179" s="196">
        <f t="shared" si="4"/>
        <v>131.295</v>
      </c>
      <c r="F179" s="197">
        <f t="shared" si="4"/>
        <v>236.55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246" t="s">
        <v>9</v>
      </c>
      <c r="B180" s="239">
        <f>C180+D180+E180+F180</f>
        <v>15993.606000000002</v>
      </c>
      <c r="C180" s="212">
        <f>C15+C22+C30+C38+C46+C54+C60+C66+C74+C82+C88+C96+C104+C110+C116+C124+C130+C136+C142+C148+C154+C162+C168</f>
        <v>85.66199999999999</v>
      </c>
      <c r="D180" s="212">
        <f t="shared" si="4"/>
        <v>1.43</v>
      </c>
      <c r="E180" s="212">
        <f t="shared" si="4"/>
        <v>783.5239999999999</v>
      </c>
      <c r="F180" s="240">
        <f t="shared" si="4"/>
        <v>15122.990000000002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247" t="s">
        <v>28</v>
      </c>
      <c r="B181" s="258">
        <f t="shared" si="2"/>
        <v>35.695</v>
      </c>
      <c r="C181" s="259">
        <f>C182+C183</f>
        <v>31.189</v>
      </c>
      <c r="D181" s="259">
        <f>D182+D183</f>
        <v>1.037</v>
      </c>
      <c r="E181" s="259">
        <f>E182+E183</f>
        <v>3.2990000000000004</v>
      </c>
      <c r="F181" s="260">
        <f>F182+F183</f>
        <v>0.17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3.25">
      <c r="A182" s="251" t="s">
        <v>29</v>
      </c>
      <c r="B182" s="216">
        <f t="shared" si="2"/>
        <v>31.543</v>
      </c>
      <c r="C182" s="217">
        <f>C11+C18+C26+C34+C42+C50+C78+C70+C92+C100+C120+C158</f>
        <v>27.037</v>
      </c>
      <c r="D182" s="217">
        <f>D11+D18+D26+D34+D42+D50+D78+D70+D92+D100+D120+D158</f>
        <v>1.037</v>
      </c>
      <c r="E182" s="217">
        <f>E11+E18+E26+E34+E42+E50+E78+E70+E92+E100+E120+E158</f>
        <v>3.2990000000000004</v>
      </c>
      <c r="F182" s="218">
        <f>F11+F18+F26+F34+F42+F50+F78+F70+F92+F100+F120+F158</f>
        <v>0.17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4" thickBot="1">
      <c r="A183" s="252" t="s">
        <v>37</v>
      </c>
      <c r="B183" s="239">
        <f t="shared" si="2"/>
        <v>4.152</v>
      </c>
      <c r="C183" s="212">
        <f>C8</f>
        <v>4.152</v>
      </c>
      <c r="D183" s="212">
        <f>D8</f>
        <v>0</v>
      </c>
      <c r="E183" s="212">
        <f>E8</f>
        <v>0</v>
      </c>
      <c r="F183" s="240">
        <f>F8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261"/>
      <c r="B184" s="254"/>
      <c r="C184" s="254"/>
      <c r="D184" s="254"/>
      <c r="E184" s="254"/>
      <c r="F184" s="2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262" t="s">
        <v>51</v>
      </c>
      <c r="B185" s="248">
        <f>C185+D185+E185+F185</f>
        <v>60555.909</v>
      </c>
      <c r="C185" s="250">
        <f>C5</f>
        <v>20849.083000000002</v>
      </c>
      <c r="D185" s="250">
        <f>D5</f>
        <v>1021.262</v>
      </c>
      <c r="E185" s="250">
        <f>E5</f>
        <v>15765.752</v>
      </c>
      <c r="F185" s="250">
        <f>F5</f>
        <v>22919.812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4" thickBot="1">
      <c r="A186" s="262" t="s">
        <v>53</v>
      </c>
      <c r="B186" s="248">
        <f>C186+D186+E186+F186</f>
        <v>1875.101</v>
      </c>
      <c r="C186" s="236">
        <f>C16</f>
        <v>1875.101</v>
      </c>
      <c r="D186" s="236">
        <f>D16</f>
        <v>0</v>
      </c>
      <c r="E186" s="236">
        <f>E16</f>
        <v>0</v>
      </c>
      <c r="F186" s="236">
        <f>F16</f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4" thickBot="1">
      <c r="A187" s="262" t="s">
        <v>52</v>
      </c>
      <c r="B187" s="248">
        <f>C187+D187+E187+F187</f>
        <v>34360.274</v>
      </c>
      <c r="C187" s="236">
        <f>C23+C31+C39+C47+C55+C61+C67+C75+C83+C89+C97+C105+C111+C117+C125+C131+C137+C143+C149+C155+C163</f>
        <v>14382.828</v>
      </c>
      <c r="D187" s="236">
        <f>D23+D31+D39+D47+D55+D61+D67+D75+D83+D89+D97+D105+D111+D117+D125+D131+D137+D143+D149+D155+D163</f>
        <v>39.652</v>
      </c>
      <c r="E187" s="236">
        <f>E23+E31+E39+E47+E55+E61+E67+E75+E83+E89+E97+E105+E111+E117+E125+E131+E137+E143+E149+E155+E163</f>
        <v>7651.0779999999995</v>
      </c>
      <c r="F187" s="236">
        <f>F23+F31+F39+F47+F55+F61+F67+F75+F83+F89+F97+F105+F111+F117+F125+F131+F137+F143+F149+F155+F163</f>
        <v>12286.715999999999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4" thickBot="1">
      <c r="A188" s="261"/>
      <c r="B188" s="256">
        <f>C188+D188+E188+F188</f>
        <v>96791.284</v>
      </c>
      <c r="C188" s="248">
        <f>SUM(C185:C187)</f>
        <v>37107.012</v>
      </c>
      <c r="D188" s="248">
        <f>SUM(D185:D187)</f>
        <v>1060.914</v>
      </c>
      <c r="E188" s="248">
        <f>SUM(E185:E187)</f>
        <v>23416.83</v>
      </c>
      <c r="F188" s="248">
        <f>SUM(F185:F187)</f>
        <v>35206.528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261"/>
      <c r="B189" s="254">
        <f>B188-B191</f>
        <v>0</v>
      </c>
      <c r="C189" s="254">
        <f>C188-C191</f>
        <v>0</v>
      </c>
      <c r="D189" s="254">
        <f>D188-D191</f>
        <v>0</v>
      </c>
      <c r="E189" s="254">
        <f>E188-E191</f>
        <v>0</v>
      </c>
      <c r="F189" s="254">
        <f>F188-F191</f>
        <v>0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4" thickBot="1">
      <c r="A190" s="253"/>
      <c r="B190" s="254"/>
      <c r="C190" s="254"/>
      <c r="D190" s="254"/>
      <c r="E190" s="254"/>
      <c r="F190" s="2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4" thickBot="1">
      <c r="A191" s="255" t="s">
        <v>67</v>
      </c>
      <c r="B191" s="248">
        <f>C191+D191+E191+F191</f>
        <v>96791.28400000001</v>
      </c>
      <c r="C191" s="250">
        <f>C5+C16+C23+C31+C39+C47+C55+C61+C67+C75+C83+C89+C97+C105+C111+C117+C125+C131+C137+C143+C149+C155+C163</f>
        <v>37107.01200000001</v>
      </c>
      <c r="D191" s="250">
        <f>D5+D16+D23+D31+D39+D47+D55+D61+D67+D75+D83+D89+D97+D105+D111+D117+D125+D131+D137+D143+D149+D155+D163</f>
        <v>1060.914</v>
      </c>
      <c r="E191" s="250">
        <f>E5+E16+E23+E31+E39+E47+E55+E61+E67+E75+E83+E89+E97+E105+E111+E117+E125+E131+E137+E143+E149+E155+E163</f>
        <v>23416.830000000005</v>
      </c>
      <c r="F191" s="250">
        <f>F5+F16+F23+F31+F39+F47+F55+F61+F67+F75+F83+F89+F97+F105+F111+F117+F125+F131+F137+F143+F149+F155+F163</f>
        <v>35206.528000000006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7" sqref="K7"/>
    </sheetView>
  </sheetViews>
  <sheetFormatPr defaultColWidth="9.00390625" defaultRowHeight="12.75"/>
  <cols>
    <col min="1" max="1" width="67.875" style="146" customWidth="1"/>
    <col min="2" max="6" width="25.25390625" style="146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87</v>
      </c>
      <c r="B2" s="277"/>
      <c r="C2" s="277"/>
      <c r="D2" s="277"/>
      <c r="E2" s="277"/>
      <c r="F2" s="277"/>
      <c r="G2" s="63"/>
      <c r="H2" s="63"/>
    </row>
    <row r="3" spans="1:8" ht="24" thickBot="1">
      <c r="A3" s="140"/>
      <c r="B3" s="140"/>
      <c r="C3" s="140"/>
      <c r="D3" s="140"/>
      <c r="E3" s="140"/>
      <c r="F3" s="140"/>
      <c r="G3" s="63"/>
      <c r="H3" s="63"/>
    </row>
    <row r="4" spans="1:18" s="3" customFormat="1" ht="24.75" customHeight="1" thickBot="1">
      <c r="A4" s="219" t="s">
        <v>86</v>
      </c>
      <c r="B4" s="220"/>
      <c r="C4" s="221" t="s">
        <v>0</v>
      </c>
      <c r="D4" s="221" t="s">
        <v>1</v>
      </c>
      <c r="E4" s="221" t="s">
        <v>2</v>
      </c>
      <c r="F4" s="22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223" t="s">
        <v>20</v>
      </c>
      <c r="B5" s="217">
        <f aca="true" t="shared" si="0" ref="B5:B44">C5+D5+E5+F5</f>
        <v>63399.087</v>
      </c>
      <c r="C5" s="217">
        <f>C7+C9+C10+C12</f>
        <v>22850.676000000003</v>
      </c>
      <c r="D5" s="217">
        <f>D7+D9+D10+D12</f>
        <v>918.726</v>
      </c>
      <c r="E5" s="217">
        <f>E7+E9+E10+E12</f>
        <v>17163.607999999997</v>
      </c>
      <c r="F5" s="218">
        <f>F7+F9+F10+F12</f>
        <v>22466.077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195" t="s">
        <v>27</v>
      </c>
      <c r="B6" s="196">
        <f t="shared" si="0"/>
        <v>19.819999999999997</v>
      </c>
      <c r="C6" s="196">
        <f>C8+C11</f>
        <v>15.006</v>
      </c>
      <c r="D6" s="196">
        <f>D8+D11</f>
        <v>1.025</v>
      </c>
      <c r="E6" s="196">
        <f>E8+E11</f>
        <v>3.732</v>
      </c>
      <c r="F6" s="197">
        <f>F8+F11</f>
        <v>0.057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195" t="s">
        <v>22</v>
      </c>
      <c r="B7" s="196">
        <f t="shared" si="0"/>
        <v>1415.667</v>
      </c>
      <c r="C7" s="224">
        <v>1415.667</v>
      </c>
      <c r="D7" s="230"/>
      <c r="E7" s="196"/>
      <c r="F7" s="197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195" t="s">
        <v>23</v>
      </c>
      <c r="B8" s="196">
        <f t="shared" si="0"/>
        <v>4.665</v>
      </c>
      <c r="C8" s="196">
        <f>3.209+1.456</f>
        <v>4.665</v>
      </c>
      <c r="D8" s="196"/>
      <c r="E8" s="196"/>
      <c r="F8" s="197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198" t="s">
        <v>24</v>
      </c>
      <c r="B9" s="196">
        <f t="shared" si="0"/>
        <v>37021.284</v>
      </c>
      <c r="C9" s="196">
        <v>15671.432</v>
      </c>
      <c r="D9" s="196">
        <v>563.973</v>
      </c>
      <c r="E9" s="196">
        <v>13932.264</v>
      </c>
      <c r="F9" s="197">
        <v>6853.615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198" t="s">
        <v>25</v>
      </c>
      <c r="B10" s="225">
        <f t="shared" si="0"/>
        <v>8586.21</v>
      </c>
      <c r="C10" s="225">
        <v>5721.202</v>
      </c>
      <c r="D10" s="225">
        <v>353.293</v>
      </c>
      <c r="E10" s="225">
        <v>2476.494</v>
      </c>
      <c r="F10" s="226">
        <v>35.221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198" t="s">
        <v>26</v>
      </c>
      <c r="B11" s="225">
        <f t="shared" si="0"/>
        <v>15.155</v>
      </c>
      <c r="C11" s="225">
        <v>10.341</v>
      </c>
      <c r="D11" s="225">
        <v>1.025</v>
      </c>
      <c r="E11" s="225">
        <v>3.732</v>
      </c>
      <c r="F11" s="226">
        <v>0.057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199" t="s">
        <v>7</v>
      </c>
      <c r="B12" s="196">
        <f t="shared" si="0"/>
        <v>16375.926000000001</v>
      </c>
      <c r="C12" s="196">
        <f>C13+C14+C15</f>
        <v>42.375</v>
      </c>
      <c r="D12" s="196">
        <f>D13+D14+D15</f>
        <v>1.46</v>
      </c>
      <c r="E12" s="196">
        <f>E13+E14+E15</f>
        <v>754.8499999999999</v>
      </c>
      <c r="F12" s="197">
        <f>F13+F14+F15</f>
        <v>15577.241000000002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199" t="s">
        <v>8</v>
      </c>
      <c r="B13" s="196">
        <f t="shared" si="0"/>
        <v>4554.566000000001</v>
      </c>
      <c r="C13" s="200">
        <v>22.657</v>
      </c>
      <c r="D13" s="200">
        <v>0</v>
      </c>
      <c r="E13" s="200">
        <v>323.59</v>
      </c>
      <c r="F13" s="201">
        <v>4208.319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199" t="s">
        <v>39</v>
      </c>
      <c r="B14" s="196">
        <f t="shared" si="0"/>
        <v>0</v>
      </c>
      <c r="C14" s="200">
        <v>0</v>
      </c>
      <c r="D14" s="200"/>
      <c r="E14" s="200"/>
      <c r="F14" s="201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199" t="s">
        <v>9</v>
      </c>
      <c r="B15" s="196">
        <f t="shared" si="0"/>
        <v>11821.36</v>
      </c>
      <c r="C15" s="200">
        <v>19.718</v>
      </c>
      <c r="D15" s="200">
        <v>1.46</v>
      </c>
      <c r="E15" s="200">
        <v>431.26</v>
      </c>
      <c r="F15" s="201">
        <v>11368.922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195" t="s">
        <v>43</v>
      </c>
      <c r="B16" s="196">
        <f t="shared" si="0"/>
        <v>2142.277</v>
      </c>
      <c r="C16" s="196">
        <f>C17+C19</f>
        <v>2142.277</v>
      </c>
      <c r="D16" s="196">
        <f>D17+D19</f>
        <v>0</v>
      </c>
      <c r="E16" s="196">
        <f>E17+E19</f>
        <v>0</v>
      </c>
      <c r="F16" s="197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199" t="s">
        <v>10</v>
      </c>
      <c r="B17" s="202">
        <f t="shared" si="0"/>
        <v>2142.277</v>
      </c>
      <c r="C17" s="196">
        <v>2142.277</v>
      </c>
      <c r="D17" s="200"/>
      <c r="E17" s="200"/>
      <c r="F17" s="201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198" t="s">
        <v>44</v>
      </c>
      <c r="B18" s="203">
        <f t="shared" si="0"/>
        <v>4.492</v>
      </c>
      <c r="C18" s="202">
        <v>4.492</v>
      </c>
      <c r="D18" s="204"/>
      <c r="E18" s="204"/>
      <c r="F18" s="205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199" t="s">
        <v>7</v>
      </c>
      <c r="B19" s="196">
        <f t="shared" si="0"/>
        <v>0</v>
      </c>
      <c r="C19" s="196">
        <f>C20+C21+C22</f>
        <v>0</v>
      </c>
      <c r="D19" s="196">
        <f>D20+D21+D22</f>
        <v>0</v>
      </c>
      <c r="E19" s="196">
        <f>E20+E21+E22</f>
        <v>0</v>
      </c>
      <c r="F19" s="197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199" t="s">
        <v>8</v>
      </c>
      <c r="B20" s="196">
        <f t="shared" si="0"/>
        <v>0</v>
      </c>
      <c r="C20" s="206"/>
      <c r="D20" s="206"/>
      <c r="E20" s="206"/>
      <c r="F20" s="207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199" t="s">
        <v>39</v>
      </c>
      <c r="B21" s="196">
        <f t="shared" si="0"/>
        <v>0</v>
      </c>
      <c r="C21" s="200">
        <v>0</v>
      </c>
      <c r="D21" s="200">
        <v>0</v>
      </c>
      <c r="E21" s="200">
        <v>0</v>
      </c>
      <c r="F21" s="201">
        <v>0</v>
      </c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199" t="s">
        <v>9</v>
      </c>
      <c r="B22" s="196">
        <f t="shared" si="0"/>
        <v>0</v>
      </c>
      <c r="C22" s="200"/>
      <c r="D22" s="200"/>
      <c r="E22" s="200"/>
      <c r="F22" s="201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195" t="s">
        <v>19</v>
      </c>
      <c r="B23" s="196">
        <f t="shared" si="0"/>
        <v>4524.3820000000005</v>
      </c>
      <c r="C23" s="196">
        <f>C24+C27+C25</f>
        <v>460.426</v>
      </c>
      <c r="D23" s="196">
        <f>D24+D27+D25</f>
        <v>0</v>
      </c>
      <c r="E23" s="196">
        <f>E24+E27+E25</f>
        <v>1587.749</v>
      </c>
      <c r="F23" s="197">
        <f>F24+F27+F25</f>
        <v>2476.2070000000003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199" t="s">
        <v>10</v>
      </c>
      <c r="B24" s="196">
        <f t="shared" si="0"/>
        <v>2615.875</v>
      </c>
      <c r="C24" s="196">
        <v>397.092</v>
      </c>
      <c r="D24" s="196"/>
      <c r="E24" s="196">
        <f>1345.529-E25</f>
        <v>1322.503</v>
      </c>
      <c r="F24" s="197">
        <f>896.28-F25</f>
        <v>896.28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198" t="s">
        <v>75</v>
      </c>
      <c r="B25" s="196">
        <f t="shared" si="0"/>
        <v>23.026</v>
      </c>
      <c r="C25" s="196"/>
      <c r="D25" s="196"/>
      <c r="E25" s="202">
        <v>23.026</v>
      </c>
      <c r="F25" s="201"/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198" t="s">
        <v>26</v>
      </c>
      <c r="B26" s="196">
        <f t="shared" si="0"/>
        <v>0.034</v>
      </c>
      <c r="C26" s="196"/>
      <c r="D26" s="196"/>
      <c r="E26" s="202">
        <v>0.034</v>
      </c>
      <c r="F26" s="201"/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199" t="s">
        <v>7</v>
      </c>
      <c r="B27" s="196">
        <f t="shared" si="0"/>
        <v>1885.4810000000002</v>
      </c>
      <c r="C27" s="196">
        <f>C28+C29+C30</f>
        <v>63.334</v>
      </c>
      <c r="D27" s="196">
        <f>D28+D29+D30</f>
        <v>0</v>
      </c>
      <c r="E27" s="196">
        <f>E28+E29+E30</f>
        <v>242.22</v>
      </c>
      <c r="F27" s="197">
        <f>F28+F29+F30</f>
        <v>1579.9270000000001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199" t="s">
        <v>8</v>
      </c>
      <c r="B28" s="196">
        <f t="shared" si="0"/>
        <v>1237.707</v>
      </c>
      <c r="C28" s="200"/>
      <c r="D28" s="200"/>
      <c r="E28" s="200">
        <v>156.565</v>
      </c>
      <c r="F28" s="201">
        <v>1081.142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199" t="s">
        <v>39</v>
      </c>
      <c r="B29" s="196">
        <f>C29+D29+E29+F29</f>
        <v>0</v>
      </c>
      <c r="C29" s="200"/>
      <c r="D29" s="200"/>
      <c r="E29" s="200"/>
      <c r="F29" s="201"/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199" t="s">
        <v>9</v>
      </c>
      <c r="B30" s="196">
        <f t="shared" si="0"/>
        <v>647.774</v>
      </c>
      <c r="C30" s="200">
        <v>63.334</v>
      </c>
      <c r="D30" s="200"/>
      <c r="E30" s="200">
        <v>85.655</v>
      </c>
      <c r="F30" s="201">
        <v>498.785</v>
      </c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195" t="s">
        <v>55</v>
      </c>
      <c r="B31" s="196">
        <f t="shared" si="0"/>
        <v>1472.219</v>
      </c>
      <c r="C31" s="196">
        <f>C32+C33+C35</f>
        <v>1472.219</v>
      </c>
      <c r="D31" s="196">
        <f>D32+D33+D35</f>
        <v>0</v>
      </c>
      <c r="E31" s="196">
        <f>E32+E33+E35</f>
        <v>0</v>
      </c>
      <c r="F31" s="197">
        <f>F32+F33+F35</f>
        <v>0</v>
      </c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199" t="s">
        <v>10</v>
      </c>
      <c r="B32" s="196">
        <f t="shared" si="0"/>
        <v>1461.029</v>
      </c>
      <c r="C32" s="196">
        <f>1470.454-C33</f>
        <v>1461.029</v>
      </c>
      <c r="D32" s="196"/>
      <c r="E32" s="196"/>
      <c r="F32" s="197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198" t="s">
        <v>76</v>
      </c>
      <c r="B33" s="196">
        <f>C33+D33+E33+F33</f>
        <v>9.425</v>
      </c>
      <c r="C33" s="196">
        <v>9.425</v>
      </c>
      <c r="D33" s="196"/>
      <c r="E33" s="196"/>
      <c r="F33" s="197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198" t="s">
        <v>26</v>
      </c>
      <c r="B34" s="196">
        <f>C34+D34+E34+F34</f>
        <v>0.017</v>
      </c>
      <c r="C34" s="196">
        <v>0.017</v>
      </c>
      <c r="D34" s="196"/>
      <c r="E34" s="196"/>
      <c r="F34" s="197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199" t="s">
        <v>7</v>
      </c>
      <c r="B35" s="196">
        <f t="shared" si="0"/>
        <v>1.765</v>
      </c>
      <c r="C35" s="196">
        <f>C36+C37+C38</f>
        <v>1.765</v>
      </c>
      <c r="D35" s="196">
        <f>D36+D37+D38</f>
        <v>0</v>
      </c>
      <c r="E35" s="196">
        <f>E36+E37+E38</f>
        <v>0</v>
      </c>
      <c r="F35" s="197">
        <f>F36+F37+F38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199" t="s">
        <v>8</v>
      </c>
      <c r="B36" s="196">
        <f t="shared" si="0"/>
        <v>1.765</v>
      </c>
      <c r="C36" s="200">
        <v>1.765</v>
      </c>
      <c r="D36" s="200"/>
      <c r="E36" s="200"/>
      <c r="F36" s="201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199" t="s">
        <v>39</v>
      </c>
      <c r="B37" s="196">
        <f t="shared" si="0"/>
        <v>0</v>
      </c>
      <c r="C37" s="200"/>
      <c r="D37" s="200"/>
      <c r="E37" s="200"/>
      <c r="F37" s="201"/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199" t="s">
        <v>9</v>
      </c>
      <c r="B38" s="196">
        <f t="shared" si="0"/>
        <v>0</v>
      </c>
      <c r="C38" s="200"/>
      <c r="D38" s="200"/>
      <c r="E38" s="200"/>
      <c r="F38" s="201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195" t="s">
        <v>61</v>
      </c>
      <c r="B39" s="196">
        <f t="shared" si="0"/>
        <v>204.38</v>
      </c>
      <c r="C39" s="196">
        <f>C40+C41+C43</f>
        <v>0</v>
      </c>
      <c r="D39" s="196">
        <f>D40+D41+D43</f>
        <v>145.363</v>
      </c>
      <c r="E39" s="196">
        <f>E40+E41+E43</f>
        <v>24.46</v>
      </c>
      <c r="F39" s="197">
        <f>F40+F41+F43</f>
        <v>34.557</v>
      </c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199" t="s">
        <v>10</v>
      </c>
      <c r="B40" s="196">
        <f t="shared" si="0"/>
        <v>185.205</v>
      </c>
      <c r="C40" s="196"/>
      <c r="D40" s="196">
        <v>145.363</v>
      </c>
      <c r="E40" s="196">
        <v>8.924</v>
      </c>
      <c r="F40" s="197">
        <f>34.49-F41</f>
        <v>30.918000000000003</v>
      </c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198" t="s">
        <v>77</v>
      </c>
      <c r="B41" s="196">
        <f>C41+D41+E41+F41</f>
        <v>3.572</v>
      </c>
      <c r="C41" s="196"/>
      <c r="D41" s="196"/>
      <c r="E41" s="200"/>
      <c r="F41" s="227">
        <v>3.572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198" t="s">
        <v>26</v>
      </c>
      <c r="B42" s="196">
        <f>C42+D42+E42+F42</f>
        <v>0.005</v>
      </c>
      <c r="C42" s="196"/>
      <c r="D42" s="196"/>
      <c r="E42" s="200"/>
      <c r="F42" s="227">
        <v>0.005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199" t="s">
        <v>7</v>
      </c>
      <c r="B43" s="196">
        <f t="shared" si="0"/>
        <v>15.603</v>
      </c>
      <c r="C43" s="196">
        <f>C44+C45+C46</f>
        <v>0</v>
      </c>
      <c r="D43" s="196">
        <f>D44+D45+D46</f>
        <v>0</v>
      </c>
      <c r="E43" s="196">
        <f>E44+E45+E46</f>
        <v>15.536</v>
      </c>
      <c r="F43" s="197">
        <f>F44+F45+F46</f>
        <v>0.067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199" t="s">
        <v>8</v>
      </c>
      <c r="B44" s="196">
        <f t="shared" si="0"/>
        <v>15.603</v>
      </c>
      <c r="C44" s="200"/>
      <c r="D44" s="200"/>
      <c r="E44" s="200">
        <v>15.536</v>
      </c>
      <c r="F44" s="201">
        <v>0.067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199" t="s">
        <v>39</v>
      </c>
      <c r="B45" s="196">
        <f>C45+D45+E45+F45</f>
        <v>0</v>
      </c>
      <c r="C45" s="200"/>
      <c r="D45" s="200"/>
      <c r="E45" s="200"/>
      <c r="F45" s="201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199" t="s">
        <v>9</v>
      </c>
      <c r="B46" s="196">
        <f>C46+D46+E46+F46</f>
        <v>0</v>
      </c>
      <c r="C46" s="200"/>
      <c r="D46" s="200"/>
      <c r="E46" s="200"/>
      <c r="F46" s="20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195" t="s">
        <v>47</v>
      </c>
      <c r="B47" s="196">
        <f aca="true" t="shared" si="1" ref="B47:B110">C47+D47+E47+F47</f>
        <v>11956.899999999998</v>
      </c>
      <c r="C47" s="196">
        <f>C48+C49+C51</f>
        <v>7239.5019999999995</v>
      </c>
      <c r="D47" s="196"/>
      <c r="E47" s="196">
        <f>E48+E49+E51</f>
        <v>1783.616</v>
      </c>
      <c r="F47" s="197">
        <f>F48+F49+F51</f>
        <v>2933.782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198" t="s">
        <v>21</v>
      </c>
      <c r="B48" s="196">
        <f t="shared" si="1"/>
        <v>3327.39</v>
      </c>
      <c r="C48" s="196">
        <f>7233.802-C49</f>
        <v>848.0529999999999</v>
      </c>
      <c r="D48" s="196"/>
      <c r="E48" s="196">
        <f>1705.661-E49</f>
        <v>1698.0900000000001</v>
      </c>
      <c r="F48" s="197">
        <f>783.87-F49</f>
        <v>781.247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228" t="s">
        <v>78</v>
      </c>
      <c r="B49" s="202">
        <f t="shared" si="1"/>
        <v>6395.942999999999</v>
      </c>
      <c r="C49" s="202">
        <v>6385.749</v>
      </c>
      <c r="D49" s="202"/>
      <c r="E49" s="202">
        <v>7.571</v>
      </c>
      <c r="F49" s="227">
        <v>2.623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198" t="s">
        <v>26</v>
      </c>
      <c r="B50" s="203">
        <f t="shared" si="1"/>
        <v>8.668</v>
      </c>
      <c r="C50" s="203">
        <v>8.653</v>
      </c>
      <c r="D50" s="225"/>
      <c r="E50" s="203">
        <v>0.011</v>
      </c>
      <c r="F50" s="229">
        <v>0.004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199" t="s">
        <v>7</v>
      </c>
      <c r="B51" s="196">
        <f t="shared" si="1"/>
        <v>2233.5670000000005</v>
      </c>
      <c r="C51" s="196">
        <f>C52+C53+C54</f>
        <v>5.7</v>
      </c>
      <c r="D51" s="196">
        <f>D52+D53+D54</f>
        <v>0</v>
      </c>
      <c r="E51" s="196">
        <f>E52+E53+E54</f>
        <v>77.955</v>
      </c>
      <c r="F51" s="197">
        <f>F52+F53+F54</f>
        <v>2149.9120000000003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199" t="s">
        <v>8</v>
      </c>
      <c r="B52" s="196">
        <f t="shared" si="1"/>
        <v>2142.9900000000002</v>
      </c>
      <c r="C52" s="200">
        <v>5.7</v>
      </c>
      <c r="D52" s="200"/>
      <c r="E52" s="200">
        <v>77.955</v>
      </c>
      <c r="F52" s="201">
        <v>2059.335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199" t="s">
        <v>39</v>
      </c>
      <c r="B53" s="196">
        <f t="shared" si="1"/>
        <v>58.315</v>
      </c>
      <c r="C53" s="200"/>
      <c r="D53" s="200"/>
      <c r="E53" s="200"/>
      <c r="F53" s="201">
        <v>58.315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199" t="s">
        <v>9</v>
      </c>
      <c r="B54" s="196">
        <f t="shared" si="1"/>
        <v>32.262</v>
      </c>
      <c r="C54" s="200"/>
      <c r="D54" s="200"/>
      <c r="E54" s="200"/>
      <c r="F54" s="201">
        <v>32.262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195" t="s">
        <v>60</v>
      </c>
      <c r="B55" s="196">
        <f t="shared" si="1"/>
        <v>79.325</v>
      </c>
      <c r="C55" s="196"/>
      <c r="D55" s="196"/>
      <c r="E55" s="196">
        <f>E56+E57</f>
        <v>33.398</v>
      </c>
      <c r="F55" s="197">
        <f>F56+F57</f>
        <v>45.927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199" t="s">
        <v>10</v>
      </c>
      <c r="B56" s="196">
        <f t="shared" si="1"/>
        <v>57.11</v>
      </c>
      <c r="C56" s="196"/>
      <c r="D56" s="196"/>
      <c r="E56" s="196">
        <v>33.398</v>
      </c>
      <c r="F56" s="197">
        <v>23.712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199" t="s">
        <v>7</v>
      </c>
      <c r="B57" s="196">
        <f t="shared" si="1"/>
        <v>22.215</v>
      </c>
      <c r="C57" s="196">
        <f>C58+C59+C60</f>
        <v>0</v>
      </c>
      <c r="D57" s="196">
        <f>D58+D59+D60</f>
        <v>0</v>
      </c>
      <c r="E57" s="196">
        <f>E58+E59+E60</f>
        <v>0</v>
      </c>
      <c r="F57" s="197">
        <f>F58+F59+F60</f>
        <v>22.215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199" t="s">
        <v>8</v>
      </c>
      <c r="B58" s="196">
        <f t="shared" si="1"/>
        <v>17.793</v>
      </c>
      <c r="C58" s="200"/>
      <c r="D58" s="200"/>
      <c r="E58" s="200"/>
      <c r="F58" s="201">
        <v>17.793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199" t="s">
        <v>39</v>
      </c>
      <c r="B59" s="196">
        <f t="shared" si="1"/>
        <v>0</v>
      </c>
      <c r="C59" s="200">
        <v>0</v>
      </c>
      <c r="D59" s="200">
        <v>0</v>
      </c>
      <c r="E59" s="200">
        <v>0</v>
      </c>
      <c r="F59" s="201"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199" t="s">
        <v>9</v>
      </c>
      <c r="B60" s="196">
        <f t="shared" si="1"/>
        <v>4.422</v>
      </c>
      <c r="C60" s="200"/>
      <c r="D60" s="200"/>
      <c r="E60" s="200"/>
      <c r="F60" s="201">
        <v>4.422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195" t="s">
        <v>59</v>
      </c>
      <c r="B61" s="196">
        <f t="shared" si="1"/>
        <v>0.482</v>
      </c>
      <c r="C61" s="196">
        <f>C62+C63</f>
        <v>0</v>
      </c>
      <c r="D61" s="196"/>
      <c r="E61" s="196">
        <f>E62+E63</f>
        <v>0</v>
      </c>
      <c r="F61" s="197">
        <f>F62+F63</f>
        <v>0.482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199" t="s">
        <v>10</v>
      </c>
      <c r="B62" s="196">
        <f t="shared" si="1"/>
        <v>0.482</v>
      </c>
      <c r="C62" s="196"/>
      <c r="D62" s="196"/>
      <c r="E62" s="196"/>
      <c r="F62" s="197">
        <v>0.482</v>
      </c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199" t="s">
        <v>7</v>
      </c>
      <c r="B63" s="196">
        <f t="shared" si="1"/>
        <v>0</v>
      </c>
      <c r="C63" s="196">
        <f>C64+C65+C66</f>
        <v>0</v>
      </c>
      <c r="D63" s="196">
        <f>D64+D65+D66</f>
        <v>0</v>
      </c>
      <c r="E63" s="196">
        <f>E64+E65+E66</f>
        <v>0</v>
      </c>
      <c r="F63" s="197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199" t="s">
        <v>8</v>
      </c>
      <c r="B64" s="196">
        <f t="shared" si="1"/>
        <v>0</v>
      </c>
      <c r="C64" s="196"/>
      <c r="D64" s="196"/>
      <c r="E64" s="196"/>
      <c r="F64" s="20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199" t="s">
        <v>39</v>
      </c>
      <c r="B65" s="196">
        <f>C65+D65+E65+F65</f>
        <v>0</v>
      </c>
      <c r="C65" s="200">
        <v>0</v>
      </c>
      <c r="D65" s="200">
        <v>0</v>
      </c>
      <c r="E65" s="200">
        <v>0</v>
      </c>
      <c r="F65" s="201"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199" t="s">
        <v>9</v>
      </c>
      <c r="B66" s="196">
        <f t="shared" si="1"/>
        <v>0</v>
      </c>
      <c r="C66" s="196"/>
      <c r="D66" s="196"/>
      <c r="E66" s="196"/>
      <c r="F66" s="201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195" t="s">
        <v>48</v>
      </c>
      <c r="B67" s="196">
        <f t="shared" si="1"/>
        <v>3010.467</v>
      </c>
      <c r="C67" s="196">
        <f>C68+C69+C71</f>
        <v>2787.243</v>
      </c>
      <c r="D67" s="196"/>
      <c r="E67" s="196">
        <f>E68+E71</f>
        <v>223.224</v>
      </c>
      <c r="F67" s="197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199" t="s">
        <v>10</v>
      </c>
      <c r="B68" s="196">
        <f t="shared" si="1"/>
        <v>2790.396</v>
      </c>
      <c r="C68" s="196">
        <f>2787.243-C69</f>
        <v>2567.172</v>
      </c>
      <c r="D68" s="196"/>
      <c r="E68" s="196">
        <v>223.224</v>
      </c>
      <c r="F68" s="197"/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28" t="s">
        <v>79</v>
      </c>
      <c r="B69" s="202">
        <f>C69+D69+E69+F69</f>
        <v>220.071</v>
      </c>
      <c r="C69" s="202">
        <v>220.071</v>
      </c>
      <c r="D69" s="230"/>
      <c r="E69" s="230"/>
      <c r="F69" s="19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198" t="s">
        <v>31</v>
      </c>
      <c r="B70" s="203">
        <f>C70+D70+E70+F70</f>
        <v>0.349</v>
      </c>
      <c r="C70" s="202">
        <v>0.349</v>
      </c>
      <c r="D70" s="230"/>
      <c r="E70" s="230"/>
      <c r="F70" s="197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199" t="s">
        <v>7</v>
      </c>
      <c r="B71" s="196">
        <f t="shared" si="1"/>
        <v>0</v>
      </c>
      <c r="C71" s="196">
        <f>C72+C73+C74</f>
        <v>0</v>
      </c>
      <c r="D71" s="196">
        <f>D72+D73+D74</f>
        <v>0</v>
      </c>
      <c r="E71" s="196">
        <f>E72+E73+E74</f>
        <v>0</v>
      </c>
      <c r="F71" s="197">
        <f>F72+F73+F74</f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199" t="s">
        <v>8</v>
      </c>
      <c r="B72" s="196">
        <f t="shared" si="1"/>
        <v>0</v>
      </c>
      <c r="C72" s="196"/>
      <c r="D72" s="196"/>
      <c r="E72" s="196"/>
      <c r="F72" s="20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199" t="s">
        <v>39</v>
      </c>
      <c r="B73" s="196">
        <f t="shared" si="1"/>
        <v>0</v>
      </c>
      <c r="C73" s="200">
        <v>0</v>
      </c>
      <c r="D73" s="200">
        <v>0</v>
      </c>
      <c r="E73" s="200">
        <v>0</v>
      </c>
      <c r="F73" s="201">
        <v>0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199" t="s">
        <v>9</v>
      </c>
      <c r="B74" s="196">
        <f t="shared" si="1"/>
        <v>0</v>
      </c>
      <c r="C74" s="196"/>
      <c r="D74" s="196"/>
      <c r="E74" s="196"/>
      <c r="F74" s="20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231" t="s">
        <v>16</v>
      </c>
      <c r="B75" s="196">
        <f t="shared" si="1"/>
        <v>638.065</v>
      </c>
      <c r="C75" s="196">
        <f>C76+C77+C79</f>
        <v>0</v>
      </c>
      <c r="D75" s="196">
        <f>D76+D77+D79</f>
        <v>0</v>
      </c>
      <c r="E75" s="196">
        <f>E76+E77+E79</f>
        <v>495.367</v>
      </c>
      <c r="F75" s="197">
        <f>F76+F77+F79</f>
        <v>142.698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199" t="s">
        <v>10</v>
      </c>
      <c r="B76" s="196">
        <f t="shared" si="1"/>
        <v>573.985</v>
      </c>
      <c r="C76" s="196"/>
      <c r="D76" s="196"/>
      <c r="E76" s="196">
        <f>495.367-E77</f>
        <v>484.68800000000005</v>
      </c>
      <c r="F76" s="197">
        <f>142.698-F77</f>
        <v>89.297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198" t="s">
        <v>80</v>
      </c>
      <c r="B77" s="202">
        <f t="shared" si="1"/>
        <v>64.08</v>
      </c>
      <c r="C77" s="202"/>
      <c r="D77" s="202"/>
      <c r="E77" s="202">
        <v>10.679</v>
      </c>
      <c r="F77" s="227">
        <v>53.401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198" t="s">
        <v>26</v>
      </c>
      <c r="B78" s="202">
        <f t="shared" si="1"/>
        <v>0.098</v>
      </c>
      <c r="C78" s="202"/>
      <c r="D78" s="202"/>
      <c r="E78" s="202">
        <v>0.019</v>
      </c>
      <c r="F78" s="227">
        <v>0.079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199" t="s">
        <v>7</v>
      </c>
      <c r="B79" s="196">
        <f t="shared" si="1"/>
        <v>0</v>
      </c>
      <c r="C79" s="196">
        <f>C80+C81+C82</f>
        <v>0</v>
      </c>
      <c r="D79" s="196">
        <f>D80+D81+D82</f>
        <v>0</v>
      </c>
      <c r="E79" s="196">
        <f>E80+E81+E82</f>
        <v>0</v>
      </c>
      <c r="F79" s="197">
        <f>F80+F81+F82</f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199" t="s">
        <v>8</v>
      </c>
      <c r="B80" s="196">
        <f t="shared" si="1"/>
        <v>0</v>
      </c>
      <c r="C80" s="200"/>
      <c r="D80" s="196"/>
      <c r="E80" s="196"/>
      <c r="F80" s="197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199" t="s">
        <v>39</v>
      </c>
      <c r="B81" s="196">
        <f t="shared" si="1"/>
        <v>0</v>
      </c>
      <c r="C81" s="200"/>
      <c r="D81" s="200"/>
      <c r="E81" s="200"/>
      <c r="F81" s="20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199" t="s">
        <v>9</v>
      </c>
      <c r="B82" s="196">
        <f t="shared" si="1"/>
        <v>0</v>
      </c>
      <c r="C82" s="200"/>
      <c r="D82" s="196"/>
      <c r="E82" s="196"/>
      <c r="F82" s="197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31" t="s">
        <v>4</v>
      </c>
      <c r="B83" s="196">
        <f t="shared" si="1"/>
        <v>313.384</v>
      </c>
      <c r="C83" s="196">
        <f>C84+C85</f>
        <v>313.384</v>
      </c>
      <c r="D83" s="196"/>
      <c r="E83" s="196"/>
      <c r="F83" s="197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198" t="s">
        <v>21</v>
      </c>
      <c r="B84" s="196">
        <f t="shared" si="1"/>
        <v>313.384</v>
      </c>
      <c r="C84" s="196">
        <v>313.384</v>
      </c>
      <c r="D84" s="196"/>
      <c r="E84" s="196">
        <f>E83-E85</f>
        <v>0</v>
      </c>
      <c r="F84" s="197">
        <f>F83-F85</f>
        <v>0</v>
      </c>
      <c r="G84" s="266"/>
      <c r="H84" s="120"/>
    </row>
    <row r="85" spans="1:8" s="30" customFormat="1" ht="32.25" customHeight="1">
      <c r="A85" s="199" t="s">
        <v>7</v>
      </c>
      <c r="B85" s="196">
        <f t="shared" si="1"/>
        <v>0</v>
      </c>
      <c r="C85" s="196">
        <f>C86+C87+C88</f>
        <v>0</v>
      </c>
      <c r="D85" s="196">
        <f>D86+D87+D88</f>
        <v>0</v>
      </c>
      <c r="E85" s="196">
        <f>E86+E87+E88</f>
        <v>0</v>
      </c>
      <c r="F85" s="197">
        <f>F86+F87+F88</f>
        <v>0</v>
      </c>
      <c r="G85" s="266"/>
      <c r="H85" s="120"/>
    </row>
    <row r="86" spans="1:18" s="3" customFormat="1" ht="32.25" customHeight="1">
      <c r="A86" s="199" t="s">
        <v>8</v>
      </c>
      <c r="B86" s="196">
        <f t="shared" si="1"/>
        <v>0</v>
      </c>
      <c r="C86" s="200"/>
      <c r="D86" s="196"/>
      <c r="E86" s="196"/>
      <c r="F86" s="197"/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199" t="s">
        <v>39</v>
      </c>
      <c r="B87" s="196">
        <f t="shared" si="1"/>
        <v>0</v>
      </c>
      <c r="C87" s="200"/>
      <c r="D87" s="200"/>
      <c r="E87" s="200"/>
      <c r="F87" s="201"/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199" t="s">
        <v>9</v>
      </c>
      <c r="B88" s="196">
        <f t="shared" si="1"/>
        <v>0</v>
      </c>
      <c r="C88" s="200"/>
      <c r="D88" s="196"/>
      <c r="E88" s="196"/>
      <c r="F88" s="197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195" t="s">
        <v>58</v>
      </c>
      <c r="B89" s="196">
        <f t="shared" si="1"/>
        <v>1641.0500000000002</v>
      </c>
      <c r="C89" s="196">
        <f>C90+C91+C93</f>
        <v>1078.136</v>
      </c>
      <c r="D89" s="196">
        <f>D90+D91+D93</f>
        <v>0</v>
      </c>
      <c r="E89" s="196">
        <f>E90+E91+E93</f>
        <v>192.601</v>
      </c>
      <c r="F89" s="197">
        <f>F90+F91+F93</f>
        <v>370.31300000000005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199" t="s">
        <v>10</v>
      </c>
      <c r="B90" s="196">
        <f t="shared" si="1"/>
        <v>494.56000000000006</v>
      </c>
      <c r="C90" s="196">
        <f>1078.136-C91</f>
        <v>204.00400000000002</v>
      </c>
      <c r="D90" s="196"/>
      <c r="E90" s="196">
        <f>192.601-E91</f>
        <v>189.975</v>
      </c>
      <c r="F90" s="197">
        <v>100.581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198" t="s">
        <v>81</v>
      </c>
      <c r="B91" s="202">
        <f>C91+D91+E91+F91</f>
        <v>876.7579999999999</v>
      </c>
      <c r="C91" s="202">
        <v>874.132</v>
      </c>
      <c r="D91" s="202"/>
      <c r="E91" s="202">
        <v>2.626</v>
      </c>
      <c r="F91" s="22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198" t="s">
        <v>26</v>
      </c>
      <c r="B92" s="203">
        <f>C92+D92+E92+F92</f>
        <v>1.351</v>
      </c>
      <c r="C92" s="202">
        <v>1.347</v>
      </c>
      <c r="D92" s="203"/>
      <c r="E92" s="203">
        <v>0.004</v>
      </c>
      <c r="F92" s="229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199" t="s">
        <v>7</v>
      </c>
      <c r="B93" s="196">
        <f t="shared" si="1"/>
        <v>269.732</v>
      </c>
      <c r="C93" s="196">
        <f>C94+C95+C96</f>
        <v>0</v>
      </c>
      <c r="D93" s="196">
        <f>D94+D95+D96</f>
        <v>0</v>
      </c>
      <c r="E93" s="196">
        <f>E94+E95+E96</f>
        <v>0</v>
      </c>
      <c r="F93" s="197">
        <f>F94+F95+F96</f>
        <v>269.732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199" t="s">
        <v>8</v>
      </c>
      <c r="B94" s="196">
        <f t="shared" si="1"/>
        <v>245.318</v>
      </c>
      <c r="C94" s="200"/>
      <c r="D94" s="196"/>
      <c r="E94" s="196"/>
      <c r="F94" s="201">
        <v>245.318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199" t="s">
        <v>39</v>
      </c>
      <c r="B95" s="196">
        <f>C95+D95+E95+F95</f>
        <v>0</v>
      </c>
      <c r="C95" s="200">
        <v>0</v>
      </c>
      <c r="D95" s="200">
        <v>0</v>
      </c>
      <c r="E95" s="200">
        <v>0</v>
      </c>
      <c r="F95" s="201">
        <v>0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199" t="s">
        <v>9</v>
      </c>
      <c r="B96" s="196">
        <f t="shared" si="1"/>
        <v>24.414</v>
      </c>
      <c r="C96" s="200"/>
      <c r="D96" s="196"/>
      <c r="E96" s="196"/>
      <c r="F96" s="201">
        <v>24.414</v>
      </c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195" t="s">
        <v>15</v>
      </c>
      <c r="B97" s="196">
        <f t="shared" si="1"/>
        <v>2046.499</v>
      </c>
      <c r="C97" s="196">
        <f>C98+C99</f>
        <v>2041.999</v>
      </c>
      <c r="D97" s="196"/>
      <c r="E97" s="196">
        <f>E98+E99</f>
        <v>0</v>
      </c>
      <c r="F97" s="197">
        <f>F98+F99</f>
        <v>4.5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199" t="s">
        <v>10</v>
      </c>
      <c r="B98" s="196">
        <f t="shared" si="1"/>
        <v>911.5540000000001</v>
      </c>
      <c r="C98" s="209">
        <f>2041.999-C99</f>
        <v>907.0540000000001</v>
      </c>
      <c r="D98" s="209"/>
      <c r="E98" s="209"/>
      <c r="F98" s="210">
        <v>4.5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198" t="s">
        <v>38</v>
      </c>
      <c r="B99" s="196">
        <f t="shared" si="1"/>
        <v>1134.945</v>
      </c>
      <c r="C99" s="202">
        <v>1134.945</v>
      </c>
      <c r="D99" s="196"/>
      <c r="E99" s="196">
        <f>E101+E100</f>
        <v>0</v>
      </c>
      <c r="F99" s="197">
        <f>F101+F100</f>
        <v>0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198" t="s">
        <v>26</v>
      </c>
      <c r="B100" s="196">
        <f t="shared" si="1"/>
        <v>1.465</v>
      </c>
      <c r="C100" s="202">
        <v>1.465</v>
      </c>
      <c r="D100" s="196"/>
      <c r="E100" s="200"/>
      <c r="F100" s="201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199" t="s">
        <v>7</v>
      </c>
      <c r="B101" s="196">
        <f t="shared" si="1"/>
        <v>0</v>
      </c>
      <c r="C101" s="196">
        <f>C102+C103+C104</f>
        <v>0</v>
      </c>
      <c r="D101" s="196">
        <f>D102+D103+D104</f>
        <v>0</v>
      </c>
      <c r="E101" s="196">
        <f>E102+E103+E104</f>
        <v>0</v>
      </c>
      <c r="F101" s="197">
        <f>F102+F103+F104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199" t="s">
        <v>8</v>
      </c>
      <c r="B102" s="196">
        <f t="shared" si="1"/>
        <v>0</v>
      </c>
      <c r="C102" s="200"/>
      <c r="D102" s="196"/>
      <c r="E102" s="196"/>
      <c r="F102" s="197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199" t="s">
        <v>39</v>
      </c>
      <c r="B103" s="196">
        <f t="shared" si="1"/>
        <v>0</v>
      </c>
      <c r="C103" s="200">
        <v>0</v>
      </c>
      <c r="D103" s="200">
        <v>0</v>
      </c>
      <c r="E103" s="200">
        <v>0</v>
      </c>
      <c r="F103" s="201"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199" t="s">
        <v>9</v>
      </c>
      <c r="B104" s="196">
        <f t="shared" si="1"/>
        <v>0</v>
      </c>
      <c r="C104" s="200"/>
      <c r="D104" s="196"/>
      <c r="E104" s="196"/>
      <c r="F104" s="19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195" t="s">
        <v>57</v>
      </c>
      <c r="B105" s="196">
        <f t="shared" si="1"/>
        <v>20.123</v>
      </c>
      <c r="C105" s="196">
        <f>C106+C107</f>
        <v>0</v>
      </c>
      <c r="D105" s="196">
        <f>D106+D107</f>
        <v>0</v>
      </c>
      <c r="E105" s="196">
        <f>E106+E107</f>
        <v>20.123</v>
      </c>
      <c r="F105" s="197">
        <f>F106+F107</f>
        <v>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199" t="s">
        <v>10</v>
      </c>
      <c r="B106" s="196">
        <f t="shared" si="1"/>
        <v>20.123</v>
      </c>
      <c r="C106" s="209"/>
      <c r="D106" s="209"/>
      <c r="E106" s="209">
        <v>20.123</v>
      </c>
      <c r="F106" s="2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199" t="s">
        <v>7</v>
      </c>
      <c r="B107" s="196">
        <f t="shared" si="1"/>
        <v>0</v>
      </c>
      <c r="C107" s="196">
        <f>C108+C109+C110</f>
        <v>0</v>
      </c>
      <c r="D107" s="196">
        <f>D108+D109+D110</f>
        <v>0</v>
      </c>
      <c r="E107" s="196">
        <f>E108+E109+E110</f>
        <v>0</v>
      </c>
      <c r="F107" s="197">
        <f>F108+F109+F110</f>
        <v>0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199" t="s">
        <v>8</v>
      </c>
      <c r="B108" s="196">
        <f t="shared" si="1"/>
        <v>0</v>
      </c>
      <c r="C108" s="200"/>
      <c r="D108" s="196"/>
      <c r="E108" s="200"/>
      <c r="F108" s="201"/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199" t="s">
        <v>39</v>
      </c>
      <c r="B109" s="196">
        <f t="shared" si="1"/>
        <v>0</v>
      </c>
      <c r="C109" s="200">
        <v>0</v>
      </c>
      <c r="D109" s="200">
        <v>0</v>
      </c>
      <c r="E109" s="200">
        <v>0</v>
      </c>
      <c r="F109" s="201">
        <v>0</v>
      </c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199" t="s">
        <v>9</v>
      </c>
      <c r="B110" s="196">
        <f t="shared" si="1"/>
        <v>0</v>
      </c>
      <c r="C110" s="200"/>
      <c r="D110" s="196"/>
      <c r="E110" s="200"/>
      <c r="F110" s="201"/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195" t="s">
        <v>14</v>
      </c>
      <c r="B111" s="196">
        <f aca="true" t="shared" si="2" ref="B111:B123">C111+D111+E111+F111</f>
        <v>99.994</v>
      </c>
      <c r="C111" s="196">
        <f>C112+C113</f>
        <v>0</v>
      </c>
      <c r="D111" s="196">
        <f>D112+D113</f>
        <v>0</v>
      </c>
      <c r="E111" s="196">
        <f>E112+E113</f>
        <v>0</v>
      </c>
      <c r="F111" s="197">
        <f>F112+F113</f>
        <v>99.994</v>
      </c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199" t="s">
        <v>10</v>
      </c>
      <c r="B112" s="196">
        <f t="shared" si="2"/>
        <v>3.02</v>
      </c>
      <c r="C112" s="200"/>
      <c r="D112" s="196"/>
      <c r="E112" s="196"/>
      <c r="F112" s="210">
        <v>3.02</v>
      </c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199" t="s">
        <v>7</v>
      </c>
      <c r="B113" s="196">
        <f t="shared" si="2"/>
        <v>96.974</v>
      </c>
      <c r="C113" s="196">
        <f>C114+C115+C116</f>
        <v>0</v>
      </c>
      <c r="D113" s="196">
        <f>D114+D115+D116</f>
        <v>0</v>
      </c>
      <c r="E113" s="196">
        <f>E114+E115+E116</f>
        <v>0</v>
      </c>
      <c r="F113" s="197">
        <f>F114+F115+F116</f>
        <v>96.974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199" t="s">
        <v>8</v>
      </c>
      <c r="B114" s="196">
        <f t="shared" si="2"/>
        <v>96.974</v>
      </c>
      <c r="C114" s="200"/>
      <c r="D114" s="196"/>
      <c r="E114" s="200"/>
      <c r="F114" s="201">
        <v>96.974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199" t="s">
        <v>39</v>
      </c>
      <c r="B115" s="196">
        <f t="shared" si="2"/>
        <v>0</v>
      </c>
      <c r="C115" s="200">
        <v>0</v>
      </c>
      <c r="D115" s="200">
        <v>0</v>
      </c>
      <c r="E115" s="200">
        <v>0</v>
      </c>
      <c r="F115" s="201">
        <v>0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199" t="s">
        <v>9</v>
      </c>
      <c r="B116" s="196">
        <f t="shared" si="2"/>
        <v>0</v>
      </c>
      <c r="C116" s="200"/>
      <c r="D116" s="196"/>
      <c r="E116" s="200"/>
      <c r="F116" s="201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195" t="s">
        <v>18</v>
      </c>
      <c r="B117" s="196">
        <f t="shared" si="2"/>
        <v>203.25300000000001</v>
      </c>
      <c r="C117" s="196">
        <f>C118+C119+C121</f>
        <v>0</v>
      </c>
      <c r="D117" s="196">
        <f>D118+D119+D121</f>
        <v>0</v>
      </c>
      <c r="E117" s="196">
        <f>E118+E119+E121</f>
        <v>9.592</v>
      </c>
      <c r="F117" s="197">
        <f>F118+F119+F121</f>
        <v>193.661</v>
      </c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199" t="s">
        <v>10</v>
      </c>
      <c r="B118" s="196">
        <f t="shared" si="2"/>
        <v>54.293</v>
      </c>
      <c r="C118" s="200"/>
      <c r="D118" s="196"/>
      <c r="E118" s="209">
        <v>9.592</v>
      </c>
      <c r="F118" s="210">
        <f>46.607-F119</f>
        <v>44.701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198" t="s">
        <v>82</v>
      </c>
      <c r="B119" s="202">
        <f t="shared" si="2"/>
        <v>1.906</v>
      </c>
      <c r="C119" s="202"/>
      <c r="D119" s="202"/>
      <c r="E119" s="202"/>
      <c r="F119" s="227">
        <v>1.906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198" t="s">
        <v>26</v>
      </c>
      <c r="B120" s="202">
        <f t="shared" si="2"/>
        <v>0.003</v>
      </c>
      <c r="C120" s="202"/>
      <c r="D120" s="202"/>
      <c r="E120" s="202"/>
      <c r="F120" s="227">
        <v>0.003</v>
      </c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199" t="s">
        <v>7</v>
      </c>
      <c r="B121" s="196">
        <f t="shared" si="2"/>
        <v>147.054</v>
      </c>
      <c r="C121" s="196">
        <f>C122+C123+C124</f>
        <v>0</v>
      </c>
      <c r="D121" s="196">
        <f>D122+D123+D124</f>
        <v>0</v>
      </c>
      <c r="E121" s="196">
        <f>E122+E123+E124</f>
        <v>0</v>
      </c>
      <c r="F121" s="197">
        <f>F122+F123+F124</f>
        <v>147.054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199" t="s">
        <v>8</v>
      </c>
      <c r="B122" s="196">
        <f t="shared" si="2"/>
        <v>0</v>
      </c>
      <c r="C122" s="200"/>
      <c r="D122" s="196"/>
      <c r="E122" s="200"/>
      <c r="F122" s="201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199" t="s">
        <v>39</v>
      </c>
      <c r="B123" s="196">
        <f t="shared" si="2"/>
        <v>0</v>
      </c>
      <c r="C123" s="200"/>
      <c r="D123" s="200"/>
      <c r="E123" s="200"/>
      <c r="F123" s="201"/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199" t="s">
        <v>9</v>
      </c>
      <c r="B124" s="196">
        <f aca="true" t="shared" si="3" ref="B124:B183">C124+D124+E124+F124</f>
        <v>147.054</v>
      </c>
      <c r="C124" s="200"/>
      <c r="D124" s="196"/>
      <c r="E124" s="196"/>
      <c r="F124" s="197">
        <v>147.054</v>
      </c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195" t="s">
        <v>13</v>
      </c>
      <c r="B125" s="196">
        <f t="shared" si="3"/>
        <v>97.65</v>
      </c>
      <c r="C125" s="196">
        <f>C126+C127</f>
        <v>0</v>
      </c>
      <c r="D125" s="196">
        <f>D126+D127</f>
        <v>0</v>
      </c>
      <c r="E125" s="196">
        <f>E126+E127</f>
        <v>97.65</v>
      </c>
      <c r="F125" s="197">
        <f>F126+F127</f>
        <v>0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199" t="s">
        <v>10</v>
      </c>
      <c r="B126" s="196">
        <f t="shared" si="3"/>
        <v>97.65</v>
      </c>
      <c r="C126" s="209"/>
      <c r="D126" s="209"/>
      <c r="E126" s="209">
        <v>97.65</v>
      </c>
      <c r="F126" s="210"/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199" t="s">
        <v>7</v>
      </c>
      <c r="B127" s="196">
        <f t="shared" si="3"/>
        <v>0</v>
      </c>
      <c r="C127" s="196">
        <f>C128+C129+C130</f>
        <v>0</v>
      </c>
      <c r="D127" s="196">
        <f>D128+D129+D130</f>
        <v>0</v>
      </c>
      <c r="E127" s="196">
        <f>E128+E129+E130</f>
        <v>0</v>
      </c>
      <c r="F127" s="197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199" t="s">
        <v>8</v>
      </c>
      <c r="B128" s="196">
        <f t="shared" si="3"/>
        <v>0</v>
      </c>
      <c r="C128" s="200"/>
      <c r="D128" s="196"/>
      <c r="E128" s="200"/>
      <c r="F128" s="201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199" t="s">
        <v>39</v>
      </c>
      <c r="B129" s="196">
        <f>C129+D129+E129+F129</f>
        <v>0</v>
      </c>
      <c r="C129" s="200">
        <v>0</v>
      </c>
      <c r="D129" s="200">
        <v>0</v>
      </c>
      <c r="E129" s="200">
        <v>0</v>
      </c>
      <c r="F129" s="201">
        <v>0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199" t="s">
        <v>9</v>
      </c>
      <c r="B130" s="196">
        <f t="shared" si="3"/>
        <v>0</v>
      </c>
      <c r="C130" s="200"/>
      <c r="D130" s="196"/>
      <c r="E130" s="200"/>
      <c r="F130" s="201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195" t="s">
        <v>62</v>
      </c>
      <c r="B131" s="196">
        <f t="shared" si="3"/>
        <v>22.416</v>
      </c>
      <c r="C131" s="196">
        <f>C132+C133</f>
        <v>0</v>
      </c>
      <c r="D131" s="196">
        <f>D132+D133</f>
        <v>0</v>
      </c>
      <c r="E131" s="196">
        <f>E132+E133</f>
        <v>0</v>
      </c>
      <c r="F131" s="197">
        <f>F132+F133</f>
        <v>22.416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199" t="s">
        <v>10</v>
      </c>
      <c r="B132" s="196">
        <f t="shared" si="3"/>
        <v>22.416</v>
      </c>
      <c r="C132" s="200"/>
      <c r="D132" s="196"/>
      <c r="E132" s="196"/>
      <c r="F132" s="210">
        <v>22.416</v>
      </c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199" t="s">
        <v>7</v>
      </c>
      <c r="B133" s="196">
        <f t="shared" si="3"/>
        <v>0</v>
      </c>
      <c r="C133" s="196">
        <f>C134+C135+C136</f>
        <v>0</v>
      </c>
      <c r="D133" s="196">
        <f>D134+D135+D136</f>
        <v>0</v>
      </c>
      <c r="E133" s="196">
        <f>E134+E135+E136</f>
        <v>0</v>
      </c>
      <c r="F133" s="197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199" t="s">
        <v>8</v>
      </c>
      <c r="B134" s="196">
        <f t="shared" si="3"/>
        <v>0</v>
      </c>
      <c r="C134" s="200"/>
      <c r="D134" s="196"/>
      <c r="E134" s="200"/>
      <c r="F134" s="201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199" t="s">
        <v>39</v>
      </c>
      <c r="B135" s="196">
        <f>C135+D135+E135+F135</f>
        <v>0</v>
      </c>
      <c r="C135" s="200">
        <v>0</v>
      </c>
      <c r="D135" s="200">
        <v>0</v>
      </c>
      <c r="E135" s="200">
        <v>0</v>
      </c>
      <c r="F135" s="201">
        <v>0</v>
      </c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199" t="s">
        <v>9</v>
      </c>
      <c r="B136" s="196">
        <f t="shared" si="3"/>
        <v>0</v>
      </c>
      <c r="C136" s="200"/>
      <c r="D136" s="196"/>
      <c r="E136" s="200"/>
      <c r="F136" s="201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195" t="s">
        <v>83</v>
      </c>
      <c r="B137" s="196">
        <f t="shared" si="3"/>
        <v>398.93</v>
      </c>
      <c r="C137" s="196">
        <f>C138+C139</f>
        <v>339.831</v>
      </c>
      <c r="D137" s="196">
        <f>D138+D139</f>
        <v>0</v>
      </c>
      <c r="E137" s="196">
        <f>E138+E139</f>
        <v>59.099</v>
      </c>
      <c r="F137" s="19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199" t="s">
        <v>10</v>
      </c>
      <c r="B138" s="196">
        <f t="shared" si="3"/>
        <v>398.93</v>
      </c>
      <c r="C138" s="196">
        <v>339.831</v>
      </c>
      <c r="D138" s="196"/>
      <c r="E138" s="196">
        <v>59.099</v>
      </c>
      <c r="F138" s="210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199" t="s">
        <v>7</v>
      </c>
      <c r="B139" s="196">
        <f t="shared" si="3"/>
        <v>0</v>
      </c>
      <c r="C139" s="196">
        <f>C140+C141+C142</f>
        <v>0</v>
      </c>
      <c r="D139" s="196">
        <f>D140+D141+D142</f>
        <v>0</v>
      </c>
      <c r="E139" s="196">
        <f>E140+E141+E142</f>
        <v>0</v>
      </c>
      <c r="F139" s="197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199" t="s">
        <v>8</v>
      </c>
      <c r="B140" s="196">
        <f t="shared" si="3"/>
        <v>0</v>
      </c>
      <c r="C140" s="200"/>
      <c r="D140" s="196"/>
      <c r="E140" s="196"/>
      <c r="F140" s="19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199" t="s">
        <v>39</v>
      </c>
      <c r="B141" s="196">
        <f t="shared" si="3"/>
        <v>0</v>
      </c>
      <c r="C141" s="200">
        <v>0</v>
      </c>
      <c r="D141" s="200">
        <v>0</v>
      </c>
      <c r="E141" s="200">
        <v>0</v>
      </c>
      <c r="F141" s="201">
        <v>0</v>
      </c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199" t="s">
        <v>9</v>
      </c>
      <c r="B142" s="196">
        <f t="shared" si="3"/>
        <v>0</v>
      </c>
      <c r="C142" s="200"/>
      <c r="D142" s="196"/>
      <c r="E142" s="196"/>
      <c r="F142" s="19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195" t="s">
        <v>56</v>
      </c>
      <c r="B143" s="196">
        <f t="shared" si="3"/>
        <v>193.35199999999998</v>
      </c>
      <c r="C143" s="196">
        <f>C144+C145</f>
        <v>0</v>
      </c>
      <c r="D143" s="196">
        <f>D144+D145</f>
        <v>0</v>
      </c>
      <c r="E143" s="196">
        <f>E144+E145</f>
        <v>193.35199999999998</v>
      </c>
      <c r="F143" s="197">
        <f>F144+F145</f>
        <v>0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199" t="s">
        <v>10</v>
      </c>
      <c r="B144" s="196">
        <f t="shared" si="3"/>
        <v>92.642</v>
      </c>
      <c r="C144" s="196"/>
      <c r="D144" s="196"/>
      <c r="E144" s="196">
        <v>92.642</v>
      </c>
      <c r="F144" s="197"/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199" t="s">
        <v>7</v>
      </c>
      <c r="B145" s="196">
        <f t="shared" si="3"/>
        <v>100.71</v>
      </c>
      <c r="C145" s="196">
        <f>C146+C147+C148</f>
        <v>0</v>
      </c>
      <c r="D145" s="196">
        <f>D146+D147+D148</f>
        <v>0</v>
      </c>
      <c r="E145" s="196">
        <f>E146+E147+E148</f>
        <v>100.71</v>
      </c>
      <c r="F145" s="197">
        <f>F146+F147+F148</f>
        <v>0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199" t="s">
        <v>8</v>
      </c>
      <c r="B146" s="196">
        <f t="shared" si="3"/>
        <v>100.71</v>
      </c>
      <c r="C146" s="196"/>
      <c r="D146" s="196"/>
      <c r="E146" s="200">
        <v>100.71</v>
      </c>
      <c r="F146" s="201"/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199" t="s">
        <v>39</v>
      </c>
      <c r="B147" s="196">
        <f>C147+D147+E147+F147</f>
        <v>0</v>
      </c>
      <c r="C147" s="200">
        <v>0</v>
      </c>
      <c r="D147" s="200">
        <v>0</v>
      </c>
      <c r="E147" s="200">
        <v>0</v>
      </c>
      <c r="F147" s="201">
        <v>0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199" t="s">
        <v>9</v>
      </c>
      <c r="B148" s="196">
        <f t="shared" si="3"/>
        <v>0</v>
      </c>
      <c r="C148" s="196"/>
      <c r="D148" s="196"/>
      <c r="E148" s="200"/>
      <c r="F148" s="201"/>
      <c r="G148" s="266"/>
      <c r="H148" s="120"/>
    </row>
    <row r="149" spans="1:8" s="30" customFormat="1" ht="32.25" customHeight="1">
      <c r="A149" s="195" t="s">
        <v>6</v>
      </c>
      <c r="B149" s="196">
        <f t="shared" si="3"/>
        <v>1476.262</v>
      </c>
      <c r="C149" s="196">
        <f>C150+C151</f>
        <v>0</v>
      </c>
      <c r="D149" s="196">
        <f>D150+D151</f>
        <v>0</v>
      </c>
      <c r="E149" s="196">
        <f>E150+E151</f>
        <v>822.847</v>
      </c>
      <c r="F149" s="197">
        <f>F150+F151</f>
        <v>653.415</v>
      </c>
      <c r="G149" s="266"/>
      <c r="H149" s="120"/>
    </row>
    <row r="150" spans="1:18" s="3" customFormat="1" ht="32.25" customHeight="1">
      <c r="A150" s="199" t="s">
        <v>10</v>
      </c>
      <c r="B150" s="196">
        <f t="shared" si="3"/>
        <v>777.26</v>
      </c>
      <c r="C150" s="196"/>
      <c r="D150" s="196"/>
      <c r="E150" s="196">
        <v>643.619</v>
      </c>
      <c r="F150" s="197">
        <v>133.641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199" t="s">
        <v>7</v>
      </c>
      <c r="B151" s="196">
        <f t="shared" si="3"/>
        <v>699.002</v>
      </c>
      <c r="C151" s="196">
        <f>C152+C153+C154</f>
        <v>0</v>
      </c>
      <c r="D151" s="196">
        <f>D152+D153+D154</f>
        <v>0</v>
      </c>
      <c r="E151" s="196">
        <f>E152+E153+E154</f>
        <v>179.228</v>
      </c>
      <c r="F151" s="197">
        <f>F152+F153+F154</f>
        <v>519.774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199" t="s">
        <v>8</v>
      </c>
      <c r="B152" s="196">
        <f t="shared" si="3"/>
        <v>513.961</v>
      </c>
      <c r="C152" s="196"/>
      <c r="D152" s="196"/>
      <c r="E152" s="200">
        <v>142.754</v>
      </c>
      <c r="F152" s="201">
        <v>371.207</v>
      </c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199" t="s">
        <v>39</v>
      </c>
      <c r="B153" s="196">
        <f t="shared" si="3"/>
        <v>84.301</v>
      </c>
      <c r="C153" s="196"/>
      <c r="D153" s="196"/>
      <c r="E153" s="200">
        <v>34.775</v>
      </c>
      <c r="F153" s="201">
        <v>49.526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199" t="s">
        <v>9</v>
      </c>
      <c r="B154" s="196">
        <f t="shared" si="3"/>
        <v>100.74</v>
      </c>
      <c r="C154" s="196"/>
      <c r="D154" s="196"/>
      <c r="E154" s="200">
        <v>1.699</v>
      </c>
      <c r="F154" s="201">
        <v>99.041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195" t="s">
        <v>5</v>
      </c>
      <c r="B155" s="196">
        <f t="shared" si="3"/>
        <v>2763.764</v>
      </c>
      <c r="C155" s="196">
        <f>C156+C157+C159</f>
        <v>359.635</v>
      </c>
      <c r="D155" s="196">
        <f>D156+D157+D159</f>
        <v>0</v>
      </c>
      <c r="E155" s="196">
        <f>E156+E157+E159</f>
        <v>1428.234</v>
      </c>
      <c r="F155" s="197">
        <f>F156+F157+F159</f>
        <v>975.895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199" t="s">
        <v>10</v>
      </c>
      <c r="B156" s="196">
        <f t="shared" si="3"/>
        <v>1378.2949999999998</v>
      </c>
      <c r="C156" s="196"/>
      <c r="D156" s="196"/>
      <c r="E156" s="196">
        <v>1133.773</v>
      </c>
      <c r="F156" s="197">
        <v>244.522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198" t="s">
        <v>50</v>
      </c>
      <c r="B157" s="196">
        <f t="shared" si="3"/>
        <v>359.635</v>
      </c>
      <c r="C157" s="257">
        <v>359.635</v>
      </c>
      <c r="D157" s="196"/>
      <c r="E157" s="196"/>
      <c r="F157" s="19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198" t="s">
        <v>26</v>
      </c>
      <c r="B158" s="203">
        <f t="shared" si="3"/>
        <v>0.53</v>
      </c>
      <c r="C158" s="257">
        <v>0.53</v>
      </c>
      <c r="D158" s="225"/>
      <c r="E158" s="225"/>
      <c r="F158" s="210"/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199" t="s">
        <v>7</v>
      </c>
      <c r="B159" s="196">
        <f t="shared" si="3"/>
        <v>1025.834</v>
      </c>
      <c r="C159" s="196">
        <f>C160+C161+C162</f>
        <v>0</v>
      </c>
      <c r="D159" s="196">
        <f>D160+D161+D162</f>
        <v>0</v>
      </c>
      <c r="E159" s="196">
        <f>E160+E161+E162</f>
        <v>294.461</v>
      </c>
      <c r="F159" s="197">
        <f>F160+F161+F162</f>
        <v>731.373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199" t="s">
        <v>8</v>
      </c>
      <c r="B160" s="196">
        <f t="shared" si="3"/>
        <v>819.734</v>
      </c>
      <c r="C160" s="200"/>
      <c r="D160" s="200"/>
      <c r="E160" s="200">
        <v>201.183</v>
      </c>
      <c r="F160" s="201">
        <v>618.551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199" t="s">
        <v>39</v>
      </c>
      <c r="B161" s="196">
        <f t="shared" si="3"/>
        <v>192.579</v>
      </c>
      <c r="C161" s="200"/>
      <c r="D161" s="200"/>
      <c r="E161" s="200">
        <v>79.757</v>
      </c>
      <c r="F161" s="201">
        <v>112.822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>
      <c r="A162" s="199" t="s">
        <v>9</v>
      </c>
      <c r="B162" s="196">
        <f t="shared" si="3"/>
        <v>13.521</v>
      </c>
      <c r="C162" s="200"/>
      <c r="D162" s="200"/>
      <c r="E162" s="200">
        <v>13.521</v>
      </c>
      <c r="F162" s="201">
        <v>0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>
      <c r="A163" s="195" t="s">
        <v>17</v>
      </c>
      <c r="B163" s="196">
        <f t="shared" si="3"/>
        <v>5002.407999999999</v>
      </c>
      <c r="C163" s="196">
        <f>C164+C165</f>
        <v>0</v>
      </c>
      <c r="D163" s="196">
        <f>D164+D165</f>
        <v>0</v>
      </c>
      <c r="E163" s="196">
        <f>E164+E165</f>
        <v>901.529</v>
      </c>
      <c r="F163" s="197">
        <f>F164+F165</f>
        <v>4100.878999999999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199" t="s">
        <v>10</v>
      </c>
      <c r="B164" s="196">
        <f t="shared" si="3"/>
        <v>1980.2689999999998</v>
      </c>
      <c r="C164" s="196"/>
      <c r="D164" s="196"/>
      <c r="E164" s="196">
        <v>869.861</v>
      </c>
      <c r="F164" s="197">
        <v>1110.408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199" t="s">
        <v>7</v>
      </c>
      <c r="B165" s="196">
        <f t="shared" si="3"/>
        <v>3022.1389999999997</v>
      </c>
      <c r="C165" s="196">
        <f>C166+C167+C168</f>
        <v>0</v>
      </c>
      <c r="D165" s="196">
        <f>D166+D167+D168</f>
        <v>0</v>
      </c>
      <c r="E165" s="196">
        <f>E166+E167+E168</f>
        <v>31.668</v>
      </c>
      <c r="F165" s="197">
        <f>F166+F167+F168</f>
        <v>2990.4709999999995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199" t="s">
        <v>8</v>
      </c>
      <c r="B166" s="196">
        <f t="shared" si="3"/>
        <v>282.431</v>
      </c>
      <c r="C166" s="200"/>
      <c r="D166" s="196"/>
      <c r="E166" s="200">
        <v>12.488</v>
      </c>
      <c r="F166" s="201">
        <v>269.943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99" t="s">
        <v>39</v>
      </c>
      <c r="B167" s="196">
        <f t="shared" si="3"/>
        <v>0</v>
      </c>
      <c r="C167" s="200">
        <v>0</v>
      </c>
      <c r="D167" s="200">
        <v>0</v>
      </c>
      <c r="E167" s="200">
        <v>0</v>
      </c>
      <c r="F167" s="201"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 thickBot="1">
      <c r="A168" s="211" t="s">
        <v>9</v>
      </c>
      <c r="B168" s="212">
        <f t="shared" si="3"/>
        <v>2739.7079999999996</v>
      </c>
      <c r="C168" s="213"/>
      <c r="D168" s="212"/>
      <c r="E168" s="213">
        <v>19.18</v>
      </c>
      <c r="F168" s="214">
        <v>2720.528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 thickBot="1">
      <c r="A169" s="246" t="s">
        <v>10</v>
      </c>
      <c r="B169" s="258">
        <f t="shared" si="3"/>
        <v>73668.38999999998</v>
      </c>
      <c r="C169" s="259">
        <f>C170+C171+C175</f>
        <v>38829.87699999999</v>
      </c>
      <c r="D169" s="259">
        <f>D170+D171+D175</f>
        <v>1062.629</v>
      </c>
      <c r="E169" s="259">
        <f>E170+E171+E175</f>
        <v>23339.821</v>
      </c>
      <c r="F169" s="260">
        <f>F170+F171+F175</f>
        <v>10436.062999999998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>
      <c r="A170" s="215" t="s">
        <v>40</v>
      </c>
      <c r="B170" s="216">
        <f t="shared" si="3"/>
        <v>54577.15199999999</v>
      </c>
      <c r="C170" s="217">
        <f>C9+C24+C32+C40+C48+C56+C62+C68+C76+C84+C90+C98+C106+C112+C118+C126+C132+C138+C144+C150+C156+C164</f>
        <v>22709.050999999996</v>
      </c>
      <c r="D170" s="217">
        <f>D9+D24+D32+D40+D48+D56+D62+D68+D76+D84+D90+D98+D106+D112+D118+D126+D132+D138+D144+D150+D156+D164</f>
        <v>709.336</v>
      </c>
      <c r="E170" s="217">
        <f>E9+E24+E32+E40+E48+E56+E62+E68+E76+E84+E90+E98+E106+E112+E118+E126+E132+E138+E144+E150+E156+E164</f>
        <v>20819.425</v>
      </c>
      <c r="F170" s="218">
        <f>F9+F24+F32+F40+F48+F56+F62+F68+F76+F84+F90+F98+F106+F112+F118+F126+F132+F138+F144+F150+F156+F164</f>
        <v>10339.339999999998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>
      <c r="A171" s="215" t="s">
        <v>42</v>
      </c>
      <c r="B171" s="237">
        <f t="shared" si="3"/>
        <v>17675.571</v>
      </c>
      <c r="C171" s="196">
        <f aca="true" t="shared" si="4" ref="C171:F172">C10+C25+C33+C41+C49+C77+C69+C99+C91+C119+C157</f>
        <v>14705.159</v>
      </c>
      <c r="D171" s="196">
        <f t="shared" si="4"/>
        <v>353.293</v>
      </c>
      <c r="E171" s="196">
        <f t="shared" si="4"/>
        <v>2520.396</v>
      </c>
      <c r="F171" s="197">
        <f t="shared" si="4"/>
        <v>96.72300000000001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215" t="s">
        <v>41</v>
      </c>
      <c r="B172" s="237">
        <f t="shared" si="3"/>
        <v>27.675</v>
      </c>
      <c r="C172" s="196">
        <f t="shared" si="4"/>
        <v>22.702</v>
      </c>
      <c r="D172" s="196">
        <f t="shared" si="4"/>
        <v>1.025</v>
      </c>
      <c r="E172" s="196">
        <f t="shared" si="4"/>
        <v>3.8000000000000003</v>
      </c>
      <c r="F172" s="197">
        <f t="shared" si="4"/>
        <v>0.14800000000000002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99" t="s">
        <v>45</v>
      </c>
      <c r="B173" s="237">
        <f t="shared" si="3"/>
        <v>2142.277</v>
      </c>
      <c r="C173" s="196">
        <f>C16</f>
        <v>2142.277</v>
      </c>
      <c r="D173" s="196">
        <f>D16</f>
        <v>0</v>
      </c>
      <c r="E173" s="196">
        <f>E16</f>
        <v>0</v>
      </c>
      <c r="F173" s="197">
        <f>F16</f>
        <v>0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>
      <c r="A174" s="215" t="s">
        <v>46</v>
      </c>
      <c r="B174" s="237">
        <f t="shared" si="3"/>
        <v>4.492</v>
      </c>
      <c r="C174" s="196">
        <f>C18</f>
        <v>4.492</v>
      </c>
      <c r="D174" s="196">
        <f>D18</f>
        <v>0</v>
      </c>
      <c r="E174" s="196">
        <f>E18</f>
        <v>0</v>
      </c>
      <c r="F174" s="197">
        <f>F18</f>
        <v>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3.25">
      <c r="A175" s="238" t="s">
        <v>22</v>
      </c>
      <c r="B175" s="237">
        <f t="shared" si="3"/>
        <v>1415.667</v>
      </c>
      <c r="C175" s="196">
        <f>C7</f>
        <v>1415.667</v>
      </c>
      <c r="D175" s="196"/>
      <c r="E175" s="196"/>
      <c r="F175" s="197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 thickBot="1">
      <c r="A176" s="238" t="s">
        <v>23</v>
      </c>
      <c r="B176" s="239">
        <f t="shared" si="3"/>
        <v>4.665</v>
      </c>
      <c r="C176" s="212">
        <f>C8</f>
        <v>4.665</v>
      </c>
      <c r="D176" s="212"/>
      <c r="E176" s="212"/>
      <c r="F176" s="240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233" t="s">
        <v>11</v>
      </c>
      <c r="B177" s="241">
        <f t="shared" si="3"/>
        <v>25896.002</v>
      </c>
      <c r="C177" s="242">
        <f>C178+C179+C180</f>
        <v>113.174</v>
      </c>
      <c r="D177" s="242">
        <f>D178+D179+D180</f>
        <v>1.46</v>
      </c>
      <c r="E177" s="242">
        <f>E178+E179+E180</f>
        <v>1696.6279999999997</v>
      </c>
      <c r="F177" s="243">
        <f>F178+F179+F180</f>
        <v>24084.74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>
      <c r="A178" s="244" t="s">
        <v>8</v>
      </c>
      <c r="B178" s="216">
        <f t="shared" si="3"/>
        <v>10029.552</v>
      </c>
      <c r="C178" s="217">
        <f aca="true" t="shared" si="5" ref="C178:F180">C13+C20+C28+C36+C44+C52+C58+C64+C72+C80+C86+C94+C102+C108+C114+C122+C128+C134+C140+C146+C152+C160+C166</f>
        <v>30.122</v>
      </c>
      <c r="D178" s="217">
        <f t="shared" si="5"/>
        <v>0</v>
      </c>
      <c r="E178" s="217">
        <f t="shared" si="5"/>
        <v>1030.781</v>
      </c>
      <c r="F178" s="218">
        <f t="shared" si="5"/>
        <v>8968.649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3.25">
      <c r="A179" s="245" t="s">
        <v>39</v>
      </c>
      <c r="B179" s="237">
        <f>C179+D179+E179+F179</f>
        <v>335.19500000000005</v>
      </c>
      <c r="C179" s="196">
        <f t="shared" si="5"/>
        <v>0</v>
      </c>
      <c r="D179" s="196">
        <f t="shared" si="5"/>
        <v>0</v>
      </c>
      <c r="E179" s="196">
        <f t="shared" si="5"/>
        <v>114.53200000000001</v>
      </c>
      <c r="F179" s="197">
        <f t="shared" si="5"/>
        <v>220.663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246" t="s">
        <v>9</v>
      </c>
      <c r="B180" s="239">
        <f>C180+D180+E180+F180</f>
        <v>15531.255000000001</v>
      </c>
      <c r="C180" s="212">
        <f t="shared" si="5"/>
        <v>83.052</v>
      </c>
      <c r="D180" s="212">
        <f t="shared" si="5"/>
        <v>1.46</v>
      </c>
      <c r="E180" s="212">
        <f t="shared" si="5"/>
        <v>551.3149999999998</v>
      </c>
      <c r="F180" s="240">
        <f>F15+F22+F30+F38+F46+F54+F60+F66+F74+F82+F88+F96+F104+F110+F116+F124+F130+F136+F142+F148+F154+F162+F168</f>
        <v>14895.428000000002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247" t="s">
        <v>28</v>
      </c>
      <c r="B181" s="258">
        <f t="shared" si="3"/>
        <v>36.832</v>
      </c>
      <c r="C181" s="259">
        <f>C182+C183</f>
        <v>31.859</v>
      </c>
      <c r="D181" s="259">
        <f>D182+D183</f>
        <v>1.025</v>
      </c>
      <c r="E181" s="259">
        <f>E182+E183</f>
        <v>3.8000000000000003</v>
      </c>
      <c r="F181" s="260">
        <f>F182+F183</f>
        <v>0.14800000000000002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3.25">
      <c r="A182" s="251" t="s">
        <v>29</v>
      </c>
      <c r="B182" s="216">
        <f t="shared" si="3"/>
        <v>32.167</v>
      </c>
      <c r="C182" s="217">
        <f>C11+C18+C26+C34+C42+C50+C78+C70+C92+C100+C120+C158</f>
        <v>27.194000000000003</v>
      </c>
      <c r="D182" s="217">
        <f>D11+D18+D26+D34+D42+D50+D78+D70+D92+D100+D120+D158</f>
        <v>1.025</v>
      </c>
      <c r="E182" s="217">
        <f>E11+E18+E26+E34+E42+E50+E78+E70+E92+E100+E120+E158</f>
        <v>3.8000000000000003</v>
      </c>
      <c r="F182" s="218">
        <f>F11+F18+F26+F34+F42+F50+F78+F70+F92+F100+F120+F158</f>
        <v>0.14800000000000002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4" thickBot="1">
      <c r="A183" s="252" t="s">
        <v>37</v>
      </c>
      <c r="B183" s="239">
        <f t="shared" si="3"/>
        <v>4.665</v>
      </c>
      <c r="C183" s="212">
        <f>C8</f>
        <v>4.665</v>
      </c>
      <c r="D183" s="212">
        <f>D8</f>
        <v>0</v>
      </c>
      <c r="E183" s="212">
        <f>E8</f>
        <v>0</v>
      </c>
      <c r="F183" s="240">
        <f>F8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261"/>
      <c r="B184" s="254"/>
      <c r="C184" s="254"/>
      <c r="D184" s="254"/>
      <c r="E184" s="254"/>
      <c r="F184" s="2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262" t="s">
        <v>51</v>
      </c>
      <c r="B185" s="248">
        <f>C185+D185+E185+F185</f>
        <v>63399.087</v>
      </c>
      <c r="C185" s="250">
        <f>C5</f>
        <v>22850.676000000003</v>
      </c>
      <c r="D185" s="250">
        <f>D5</f>
        <v>918.726</v>
      </c>
      <c r="E185" s="250">
        <f>E5</f>
        <v>17163.607999999997</v>
      </c>
      <c r="F185" s="250">
        <f>F5</f>
        <v>22466.077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4" thickBot="1">
      <c r="A186" s="262" t="s">
        <v>53</v>
      </c>
      <c r="B186" s="248">
        <f>C186+D186+E186+F186</f>
        <v>2142.277</v>
      </c>
      <c r="C186" s="236">
        <f>C16</f>
        <v>2142.277</v>
      </c>
      <c r="D186" s="236">
        <f>D16</f>
        <v>0</v>
      </c>
      <c r="E186" s="236">
        <f>E16</f>
        <v>0</v>
      </c>
      <c r="F186" s="236">
        <f>F16</f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4" thickBot="1">
      <c r="A187" s="262" t="s">
        <v>52</v>
      </c>
      <c r="B187" s="248">
        <f>C187+D187+E187+F187</f>
        <v>36165.30499999999</v>
      </c>
      <c r="C187" s="236">
        <f>C23+C31+C39+C47+C55+C61+C67+C75+C83+C89+C97+C105+C111+C117+C125+C131+C137+C143+C149+C155+C163</f>
        <v>16092.375</v>
      </c>
      <c r="D187" s="236">
        <f>D23+D31+D39+D47+D55+D61+D67+D75+D83+D89+D97+D105+D111+D117+D125+D131+D137+D143+D149+D155+D163</f>
        <v>145.363</v>
      </c>
      <c r="E187" s="236">
        <f>E23+E31+E39+E47+E55+E61+E67+E75+E83+E89+E97+E105+E111+E117+E125+E131+E137+E143+E149+E155+E163</f>
        <v>7872.8409999999985</v>
      </c>
      <c r="F187" s="236">
        <f>F23+F31+F39+F47+F55+F61+F67+F75+F83+F89+F97+F105+F111+F117+F125+F131+F137+F143+F149+F155+F163</f>
        <v>12054.725999999999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4" thickBot="1">
      <c r="A188" s="261"/>
      <c r="B188" s="256">
        <f>C188+D188+E188+F188</f>
        <v>101706.669</v>
      </c>
      <c r="C188" s="248">
        <f>SUM(C185:C187)</f>
        <v>41085.328</v>
      </c>
      <c r="D188" s="248">
        <f>SUM(D185:D187)</f>
        <v>1064.089</v>
      </c>
      <c r="E188" s="248">
        <f>SUM(E185:E187)</f>
        <v>25036.448999999993</v>
      </c>
      <c r="F188" s="263">
        <f>SUM(F185:F187)</f>
        <v>34520.803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261"/>
      <c r="B189" s="254">
        <f>B188-B191</f>
        <v>0</v>
      </c>
      <c r="C189" s="254">
        <f>C188-C191</f>
        <v>0</v>
      </c>
      <c r="D189" s="254">
        <f>D188-D191</f>
        <v>0</v>
      </c>
      <c r="E189" s="254">
        <f>E188-E191</f>
        <v>0</v>
      </c>
      <c r="F189" s="254">
        <f>F188-F191</f>
        <v>0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4" thickBot="1">
      <c r="A190" s="261"/>
      <c r="B190" s="254"/>
      <c r="C190" s="254"/>
      <c r="D190" s="254"/>
      <c r="E190" s="254"/>
      <c r="F190" s="2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4" thickBot="1">
      <c r="A191" s="262" t="s">
        <v>67</v>
      </c>
      <c r="B191" s="248">
        <f>C191+D191+E191+F191</f>
        <v>101706.669</v>
      </c>
      <c r="C191" s="250">
        <f>C5+C16+C23+C31+C39+C47+C55+C61+C67+C75+C83+C89+C97+C105+C111+C117+C125+C131+C137+C143+C149+C155+C163</f>
        <v>41085.328</v>
      </c>
      <c r="D191" s="250">
        <f>D5+D16+D23+D31+D39+D47+D55+D61+D67+D75+D83+D89+D97+D105+D111+D117+D125+D131+D137+D143+D149+D155+D163</f>
        <v>1064.089</v>
      </c>
      <c r="E191" s="250">
        <f>E5+E16+E23+E31+E39+E47+E55+E61+E67+E75+E83+E89+E97+E105+E111+E117+E125+E131+E137+E143+E149+E155+E163</f>
        <v>25036.448999999993</v>
      </c>
      <c r="F191" s="250">
        <f>F5+F16+F23+F31+F39+F47+F55+F61+F67+F75+F83+F89+F97+F105+F111+F117+F125+F131+F137+F143+F149+F155+F163</f>
        <v>34520.803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45"/>
      <c r="B192" s="145"/>
      <c r="C192" s="145"/>
      <c r="D192" s="145"/>
      <c r="E192" s="145"/>
      <c r="F192" s="145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45"/>
      <c r="B193" s="145"/>
      <c r="C193" s="145"/>
      <c r="D193" s="145"/>
      <c r="E193" s="145"/>
      <c r="F193" s="145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45"/>
      <c r="B194" s="145"/>
      <c r="C194" s="145"/>
      <c r="D194" s="145"/>
      <c r="E194" s="145"/>
      <c r="F194" s="145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45"/>
      <c r="B195" s="145"/>
      <c r="C195" s="145"/>
      <c r="D195" s="145"/>
      <c r="E195" s="145"/>
      <c r="F195" s="145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45"/>
      <c r="B196" s="145"/>
      <c r="C196" s="145"/>
      <c r="D196" s="145"/>
      <c r="E196" s="145"/>
      <c r="F196" s="145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45"/>
      <c r="B197" s="145"/>
      <c r="C197" s="145"/>
      <c r="D197" s="145"/>
      <c r="E197" s="145"/>
      <c r="F197" s="14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45"/>
      <c r="B198" s="145"/>
      <c r="C198" s="145"/>
      <c r="D198" s="145"/>
      <c r="E198" s="145"/>
      <c r="F198" s="145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45"/>
      <c r="B199" s="145"/>
      <c r="C199" s="145"/>
      <c r="D199" s="145"/>
      <c r="E199" s="145"/>
      <c r="F199" s="145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45"/>
      <c r="B200" s="145"/>
      <c r="C200" s="145"/>
      <c r="D200" s="145"/>
      <c r="E200" s="145"/>
      <c r="F200" s="145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45"/>
      <c r="B201" s="145"/>
      <c r="C201" s="145"/>
      <c r="D201" s="145"/>
      <c r="E201" s="145"/>
      <c r="F201" s="145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45"/>
      <c r="B202" s="145"/>
      <c r="C202" s="145"/>
      <c r="D202" s="145"/>
      <c r="E202" s="145"/>
      <c r="F202" s="14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45"/>
      <c r="B203" s="145"/>
      <c r="C203" s="145"/>
      <c r="D203" s="145"/>
      <c r="E203" s="145"/>
      <c r="F203" s="145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45"/>
      <c r="B204" s="145"/>
      <c r="C204" s="145"/>
      <c r="D204" s="145"/>
      <c r="E204" s="145"/>
      <c r="F204" s="145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45"/>
      <c r="B205" s="145"/>
      <c r="C205" s="145"/>
      <c r="D205" s="145"/>
      <c r="E205" s="145"/>
      <c r="F205" s="145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45"/>
      <c r="B206" s="145"/>
      <c r="C206" s="145"/>
      <c r="D206" s="145"/>
      <c r="E206" s="145"/>
      <c r="F206" s="145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45"/>
      <c r="B207" s="145"/>
      <c r="C207" s="145"/>
      <c r="D207" s="145"/>
      <c r="E207" s="145"/>
      <c r="F207" s="145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45"/>
      <c r="B208" s="145"/>
      <c r="C208" s="145"/>
      <c r="D208" s="145"/>
      <c r="E208" s="145"/>
      <c r="F208" s="145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45"/>
      <c r="B209" s="145"/>
      <c r="C209" s="145"/>
      <c r="D209" s="145"/>
      <c r="E209" s="145"/>
      <c r="F209" s="145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45"/>
      <c r="B210" s="145"/>
      <c r="C210" s="145"/>
      <c r="D210" s="145"/>
      <c r="E210" s="145"/>
      <c r="F210" s="145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45"/>
      <c r="B211" s="145"/>
      <c r="C211" s="145"/>
      <c r="D211" s="145"/>
      <c r="E211" s="145"/>
      <c r="F211" s="145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00390625" defaultRowHeight="12.75"/>
  <cols>
    <col min="1" max="1" width="67.875" style="268" customWidth="1"/>
    <col min="2" max="6" width="25.25390625" style="268" customWidth="1"/>
    <col min="7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5" t="s">
        <v>85</v>
      </c>
      <c r="B2" s="277"/>
      <c r="C2" s="277"/>
      <c r="D2" s="277"/>
      <c r="E2" s="277"/>
      <c r="F2" s="277"/>
      <c r="G2" s="63"/>
      <c r="H2" s="63"/>
    </row>
    <row r="3" spans="1:8" ht="24" thickBot="1">
      <c r="A3" s="140"/>
      <c r="B3" s="140"/>
      <c r="C3" s="140"/>
      <c r="D3" s="140"/>
      <c r="E3" s="140"/>
      <c r="F3" s="140"/>
      <c r="G3" s="63"/>
      <c r="H3" s="63"/>
    </row>
    <row r="4" spans="1:18" s="3" customFormat="1" ht="24.75" customHeight="1" thickBot="1">
      <c r="A4" s="219" t="s">
        <v>74</v>
      </c>
      <c r="B4" s="220"/>
      <c r="C4" s="221" t="s">
        <v>0</v>
      </c>
      <c r="D4" s="221" t="s">
        <v>1</v>
      </c>
      <c r="E4" s="221" t="s">
        <v>2</v>
      </c>
      <c r="F4" s="22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223" t="s">
        <v>20</v>
      </c>
      <c r="B5" s="217">
        <v>64809.741</v>
      </c>
      <c r="C5" s="217">
        <v>22063.292</v>
      </c>
      <c r="D5" s="217">
        <v>1137.635</v>
      </c>
      <c r="E5" s="217">
        <v>18701.074</v>
      </c>
      <c r="F5" s="218">
        <v>22907.74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195" t="s">
        <v>27</v>
      </c>
      <c r="B6" s="196">
        <v>23.985</v>
      </c>
      <c r="C6" s="196">
        <v>17.635</v>
      </c>
      <c r="D6" s="196">
        <v>0.955</v>
      </c>
      <c r="E6" s="196">
        <v>5.335</v>
      </c>
      <c r="F6" s="197">
        <v>0.06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195" t="s">
        <v>22</v>
      </c>
      <c r="B7" s="196">
        <v>1629.865</v>
      </c>
      <c r="C7" s="224">
        <v>1629.865</v>
      </c>
      <c r="D7" s="196"/>
      <c r="E7" s="196"/>
      <c r="F7" s="197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195" t="s">
        <v>23</v>
      </c>
      <c r="B8" s="196">
        <v>4.757</v>
      </c>
      <c r="C8" s="196">
        <v>4.757</v>
      </c>
      <c r="D8" s="196"/>
      <c r="E8" s="196"/>
      <c r="F8" s="197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198" t="s">
        <v>24</v>
      </c>
      <c r="B9" s="196">
        <v>37643.762</v>
      </c>
      <c r="C9" s="196">
        <v>13941.988</v>
      </c>
      <c r="D9" s="196">
        <v>829.448</v>
      </c>
      <c r="E9" s="196">
        <v>15087.786</v>
      </c>
      <c r="F9" s="197">
        <v>7784.54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198" t="s">
        <v>25</v>
      </c>
      <c r="B10" s="225">
        <v>9672.712</v>
      </c>
      <c r="C10" s="225">
        <v>6453.327</v>
      </c>
      <c r="D10" s="225">
        <v>306.677</v>
      </c>
      <c r="E10" s="225">
        <v>2876.021</v>
      </c>
      <c r="F10" s="226">
        <v>36.687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198" t="s">
        <v>26</v>
      </c>
      <c r="B11" s="225">
        <v>19.227999999999998</v>
      </c>
      <c r="C11" s="225">
        <v>12.878</v>
      </c>
      <c r="D11" s="225">
        <v>0.955</v>
      </c>
      <c r="E11" s="225">
        <v>5.335</v>
      </c>
      <c r="F11" s="226">
        <v>0.06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199" t="s">
        <v>7</v>
      </c>
      <c r="B12" s="196">
        <v>15863.401999999998</v>
      </c>
      <c r="C12" s="196">
        <v>38.111999999999995</v>
      </c>
      <c r="D12" s="196">
        <v>1.51</v>
      </c>
      <c r="E12" s="196">
        <v>737.267</v>
      </c>
      <c r="F12" s="197">
        <v>15086.512999999999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199" t="s">
        <v>8</v>
      </c>
      <c r="B13" s="196">
        <v>4594.7789999999995</v>
      </c>
      <c r="C13" s="200">
        <v>19.34</v>
      </c>
      <c r="D13" s="200"/>
      <c r="E13" s="200">
        <v>301.901</v>
      </c>
      <c r="F13" s="201">
        <v>4273.538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199" t="s">
        <v>39</v>
      </c>
      <c r="B14" s="196">
        <v>0</v>
      </c>
      <c r="C14" s="200"/>
      <c r="D14" s="200"/>
      <c r="E14" s="200"/>
      <c r="F14" s="201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199" t="s">
        <v>9</v>
      </c>
      <c r="B15" s="196">
        <v>11268.623</v>
      </c>
      <c r="C15" s="200">
        <v>18.772</v>
      </c>
      <c r="D15" s="200">
        <v>1.51</v>
      </c>
      <c r="E15" s="200">
        <v>435.366</v>
      </c>
      <c r="F15" s="201">
        <v>10812.975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195" t="s">
        <v>43</v>
      </c>
      <c r="B16" s="196">
        <v>2146.989</v>
      </c>
      <c r="C16" s="196">
        <v>2146.989</v>
      </c>
      <c r="D16" s="196">
        <v>0</v>
      </c>
      <c r="E16" s="196">
        <v>0</v>
      </c>
      <c r="F16" s="197"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199" t="s">
        <v>10</v>
      </c>
      <c r="B17" s="202">
        <v>2146.989</v>
      </c>
      <c r="C17" s="202">
        <v>2146.989</v>
      </c>
      <c r="D17" s="200"/>
      <c r="E17" s="200"/>
      <c r="F17" s="201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198" t="s">
        <v>44</v>
      </c>
      <c r="B18" s="203">
        <v>4.759</v>
      </c>
      <c r="C18" s="202">
        <v>4.759</v>
      </c>
      <c r="D18" s="204"/>
      <c r="E18" s="204"/>
      <c r="F18" s="205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199" t="s">
        <v>7</v>
      </c>
      <c r="B19" s="196">
        <v>0</v>
      </c>
      <c r="C19" s="196">
        <v>0</v>
      </c>
      <c r="D19" s="196">
        <v>0</v>
      </c>
      <c r="E19" s="196">
        <v>0</v>
      </c>
      <c r="F19" s="197"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199" t="s">
        <v>8</v>
      </c>
      <c r="B20" s="196">
        <v>0</v>
      </c>
      <c r="C20" s="206"/>
      <c r="D20" s="206"/>
      <c r="E20" s="206"/>
      <c r="F20" s="207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199" t="s">
        <v>39</v>
      </c>
      <c r="B21" s="196">
        <v>0</v>
      </c>
      <c r="C21" s="200">
        <v>0</v>
      </c>
      <c r="D21" s="200">
        <v>0</v>
      </c>
      <c r="E21" s="200">
        <v>0</v>
      </c>
      <c r="F21" s="201">
        <v>0</v>
      </c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199" t="s">
        <v>9</v>
      </c>
      <c r="B22" s="196">
        <v>0</v>
      </c>
      <c r="C22" s="200"/>
      <c r="D22" s="200"/>
      <c r="E22" s="200"/>
      <c r="F22" s="201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195" t="s">
        <v>19</v>
      </c>
      <c r="B23" s="196">
        <v>4750.567</v>
      </c>
      <c r="C23" s="196">
        <v>486.603</v>
      </c>
      <c r="D23" s="196">
        <v>0</v>
      </c>
      <c r="E23" s="196">
        <v>1691.375</v>
      </c>
      <c r="F23" s="197">
        <v>2572.589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199" t="s">
        <v>10</v>
      </c>
      <c r="B24" s="196">
        <v>2760.183</v>
      </c>
      <c r="C24" s="196">
        <v>423.129</v>
      </c>
      <c r="D24" s="196"/>
      <c r="E24" s="196">
        <v>1417.93</v>
      </c>
      <c r="F24" s="197">
        <v>919.124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198" t="s">
        <v>75</v>
      </c>
      <c r="B25" s="202">
        <v>22.508</v>
      </c>
      <c r="C25" s="202"/>
      <c r="D25" s="202"/>
      <c r="E25" s="202">
        <v>22.508</v>
      </c>
      <c r="F25" s="205"/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198" t="s">
        <v>26</v>
      </c>
      <c r="B26" s="202">
        <v>0.033</v>
      </c>
      <c r="C26" s="202"/>
      <c r="D26" s="202"/>
      <c r="E26" s="202">
        <v>0.033</v>
      </c>
      <c r="F26" s="205"/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199" t="s">
        <v>7</v>
      </c>
      <c r="B27" s="196">
        <v>1967.876</v>
      </c>
      <c r="C27" s="196">
        <v>63.474</v>
      </c>
      <c r="D27" s="196">
        <v>0</v>
      </c>
      <c r="E27" s="196">
        <v>250.937</v>
      </c>
      <c r="F27" s="197">
        <v>1653.465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199" t="s">
        <v>8</v>
      </c>
      <c r="B28" s="196">
        <v>1147.69</v>
      </c>
      <c r="C28" s="200">
        <v>0</v>
      </c>
      <c r="D28" s="200">
        <v>0</v>
      </c>
      <c r="E28" s="200">
        <v>6.577</v>
      </c>
      <c r="F28" s="201">
        <v>1141.113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199" t="s">
        <v>39</v>
      </c>
      <c r="B29" s="196">
        <v>506.926</v>
      </c>
      <c r="C29" s="200">
        <v>0</v>
      </c>
      <c r="D29" s="200">
        <v>0</v>
      </c>
      <c r="E29" s="200">
        <v>0</v>
      </c>
      <c r="F29" s="201">
        <v>506.926</v>
      </c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199" t="s">
        <v>9</v>
      </c>
      <c r="B30" s="196">
        <v>313.26</v>
      </c>
      <c r="C30" s="200">
        <v>63.474</v>
      </c>
      <c r="D30" s="200">
        <v>0</v>
      </c>
      <c r="E30" s="200">
        <v>244.36</v>
      </c>
      <c r="F30" s="201">
        <v>5.426</v>
      </c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195" t="s">
        <v>55</v>
      </c>
      <c r="B31" s="196">
        <v>1406.4920000000002</v>
      </c>
      <c r="C31" s="196">
        <v>1406.4920000000002</v>
      </c>
      <c r="D31" s="196"/>
      <c r="E31" s="196"/>
      <c r="F31" s="197"/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199" t="s">
        <v>10</v>
      </c>
      <c r="B32" s="196">
        <v>1396.2330000000002</v>
      </c>
      <c r="C32" s="196">
        <v>1396.2330000000002</v>
      </c>
      <c r="D32" s="196"/>
      <c r="E32" s="196"/>
      <c r="F32" s="197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198" t="s">
        <v>76</v>
      </c>
      <c r="B33" s="202">
        <v>8.792</v>
      </c>
      <c r="C33" s="202">
        <v>8.792</v>
      </c>
      <c r="D33" s="202"/>
      <c r="E33" s="204"/>
      <c r="F33" s="205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198" t="s">
        <v>26</v>
      </c>
      <c r="B34" s="202">
        <v>0.016</v>
      </c>
      <c r="C34" s="202">
        <v>0.016</v>
      </c>
      <c r="D34" s="202"/>
      <c r="E34" s="204"/>
      <c r="F34" s="205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199" t="s">
        <v>7</v>
      </c>
      <c r="B35" s="196">
        <v>1.467</v>
      </c>
      <c r="C35" s="196">
        <v>1.467</v>
      </c>
      <c r="D35" s="196">
        <v>0</v>
      </c>
      <c r="E35" s="196">
        <v>0</v>
      </c>
      <c r="F35" s="197"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199" t="s">
        <v>8</v>
      </c>
      <c r="B36" s="196">
        <v>1.467</v>
      </c>
      <c r="C36" s="200">
        <v>1.467</v>
      </c>
      <c r="D36" s="200"/>
      <c r="E36" s="200"/>
      <c r="F36" s="201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199" t="s">
        <v>39</v>
      </c>
      <c r="B37" s="196">
        <v>0</v>
      </c>
      <c r="C37" s="200">
        <v>0</v>
      </c>
      <c r="D37" s="200">
        <v>0</v>
      </c>
      <c r="E37" s="200">
        <v>0</v>
      </c>
      <c r="F37" s="201">
        <v>0</v>
      </c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199" t="s">
        <v>9</v>
      </c>
      <c r="B38" s="196">
        <v>0</v>
      </c>
      <c r="C38" s="200"/>
      <c r="D38" s="200"/>
      <c r="E38" s="200"/>
      <c r="F38" s="201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195" t="s">
        <v>61</v>
      </c>
      <c r="B39" s="196">
        <v>116.619</v>
      </c>
      <c r="C39" s="196">
        <v>0</v>
      </c>
      <c r="D39" s="196">
        <v>59.348</v>
      </c>
      <c r="E39" s="196">
        <v>23.89</v>
      </c>
      <c r="F39" s="197">
        <v>33.381</v>
      </c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199" t="s">
        <v>10</v>
      </c>
      <c r="B40" s="196">
        <v>97.593</v>
      </c>
      <c r="C40" s="196"/>
      <c r="D40" s="196">
        <v>59.348</v>
      </c>
      <c r="E40" s="196">
        <v>8.066</v>
      </c>
      <c r="F40" s="197">
        <v>30.179</v>
      </c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198" t="s">
        <v>77</v>
      </c>
      <c r="B41" s="202">
        <v>3.142</v>
      </c>
      <c r="C41" s="202"/>
      <c r="D41" s="202"/>
      <c r="E41" s="204"/>
      <c r="F41" s="227">
        <v>3.142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198" t="s">
        <v>26</v>
      </c>
      <c r="B42" s="202">
        <v>0.005</v>
      </c>
      <c r="C42" s="202"/>
      <c r="D42" s="202"/>
      <c r="E42" s="204"/>
      <c r="F42" s="227">
        <v>0.005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199" t="s">
        <v>7</v>
      </c>
      <c r="B43" s="196">
        <v>15.884</v>
      </c>
      <c r="C43" s="196">
        <v>0</v>
      </c>
      <c r="D43" s="196">
        <v>0</v>
      </c>
      <c r="E43" s="196">
        <v>15.824</v>
      </c>
      <c r="F43" s="197">
        <v>0.06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199" t="s">
        <v>8</v>
      </c>
      <c r="B44" s="196">
        <v>15.884</v>
      </c>
      <c r="C44" s="200"/>
      <c r="D44" s="200"/>
      <c r="E44" s="200">
        <v>15.824</v>
      </c>
      <c r="F44" s="201">
        <v>0.06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199" t="s">
        <v>39</v>
      </c>
      <c r="B45" s="196">
        <v>0</v>
      </c>
      <c r="C45" s="200"/>
      <c r="D45" s="200"/>
      <c r="E45" s="200"/>
      <c r="F45" s="201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199" t="s">
        <v>9</v>
      </c>
      <c r="B46" s="196">
        <v>0</v>
      </c>
      <c r="C46" s="200"/>
      <c r="D46" s="200"/>
      <c r="E46" s="200"/>
      <c r="F46" s="20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195" t="s">
        <v>47</v>
      </c>
      <c r="B47" s="196">
        <v>12226.215</v>
      </c>
      <c r="C47" s="196">
        <v>7264.406</v>
      </c>
      <c r="D47" s="196">
        <v>0</v>
      </c>
      <c r="E47" s="196">
        <v>1985.728</v>
      </c>
      <c r="F47" s="197">
        <v>2976.081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198" t="s">
        <v>21</v>
      </c>
      <c r="B48" s="196">
        <v>3571.83</v>
      </c>
      <c r="C48" s="196">
        <v>894.7919999999995</v>
      </c>
      <c r="D48" s="196"/>
      <c r="E48" s="196">
        <v>1896.254</v>
      </c>
      <c r="F48" s="197">
        <v>780.784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228" t="s">
        <v>78</v>
      </c>
      <c r="B49" s="202">
        <v>6373.027</v>
      </c>
      <c r="C49" s="202">
        <v>6363.014</v>
      </c>
      <c r="D49" s="202"/>
      <c r="E49" s="202">
        <v>7.431</v>
      </c>
      <c r="F49" s="227">
        <v>2.582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198" t="s">
        <v>26</v>
      </c>
      <c r="B50" s="203">
        <v>8.640999999999998</v>
      </c>
      <c r="C50" s="203">
        <v>8.626</v>
      </c>
      <c r="D50" s="225"/>
      <c r="E50" s="203">
        <v>0.011</v>
      </c>
      <c r="F50" s="229">
        <v>0.004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199" t="s">
        <v>7</v>
      </c>
      <c r="B51" s="196">
        <v>2281.358</v>
      </c>
      <c r="C51" s="196">
        <v>6.6</v>
      </c>
      <c r="D51" s="196">
        <v>0</v>
      </c>
      <c r="E51" s="196">
        <v>82.043</v>
      </c>
      <c r="F51" s="197">
        <v>2192.715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199" t="s">
        <v>8</v>
      </c>
      <c r="B52" s="196">
        <v>2190.853</v>
      </c>
      <c r="C52" s="200">
        <v>6.6</v>
      </c>
      <c r="D52" s="200"/>
      <c r="E52" s="200">
        <v>82.043</v>
      </c>
      <c r="F52" s="201">
        <v>2102.21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199" t="s">
        <v>39</v>
      </c>
      <c r="B53" s="196">
        <v>60.05</v>
      </c>
      <c r="C53" s="200"/>
      <c r="D53" s="200"/>
      <c r="E53" s="200"/>
      <c r="F53" s="201">
        <v>60.05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199" t="s">
        <v>9</v>
      </c>
      <c r="B54" s="196">
        <v>30.455</v>
      </c>
      <c r="C54" s="200"/>
      <c r="D54" s="200"/>
      <c r="E54" s="200"/>
      <c r="F54" s="201">
        <v>30.455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195" t="s">
        <v>60</v>
      </c>
      <c r="B55" s="196">
        <v>85.895</v>
      </c>
      <c r="C55" s="196"/>
      <c r="D55" s="196"/>
      <c r="E55" s="196">
        <v>31.699</v>
      </c>
      <c r="F55" s="197">
        <v>54.196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199" t="s">
        <v>10</v>
      </c>
      <c r="B56" s="196">
        <v>54.414</v>
      </c>
      <c r="C56" s="196"/>
      <c r="D56" s="196"/>
      <c r="E56" s="196">
        <v>31.699</v>
      </c>
      <c r="F56" s="197">
        <v>22.715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199" t="s">
        <v>7</v>
      </c>
      <c r="B57" s="196">
        <v>31.481</v>
      </c>
      <c r="C57" s="196">
        <v>0</v>
      </c>
      <c r="D57" s="196">
        <v>0</v>
      </c>
      <c r="E57" s="196">
        <v>0</v>
      </c>
      <c r="F57" s="197">
        <v>31.481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199" t="s">
        <v>8</v>
      </c>
      <c r="B58" s="196">
        <v>26.849</v>
      </c>
      <c r="C58" s="200"/>
      <c r="D58" s="200"/>
      <c r="E58" s="200">
        <v>0</v>
      </c>
      <c r="F58" s="201">
        <v>26.849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199" t="s">
        <v>39</v>
      </c>
      <c r="B59" s="196">
        <v>0</v>
      </c>
      <c r="C59" s="200">
        <v>0</v>
      </c>
      <c r="D59" s="200">
        <v>0</v>
      </c>
      <c r="E59" s="200">
        <v>0</v>
      </c>
      <c r="F59" s="201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199" t="s">
        <v>9</v>
      </c>
      <c r="B60" s="196">
        <v>4.632</v>
      </c>
      <c r="C60" s="200"/>
      <c r="D60" s="200"/>
      <c r="E60" s="200">
        <v>0</v>
      </c>
      <c r="F60" s="201">
        <v>4.632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195" t="s">
        <v>59</v>
      </c>
      <c r="B61" s="196">
        <v>0.441</v>
      </c>
      <c r="C61" s="196">
        <v>0</v>
      </c>
      <c r="D61" s="196">
        <v>0</v>
      </c>
      <c r="E61" s="196">
        <v>0</v>
      </c>
      <c r="F61" s="197">
        <v>0.441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199" t="s">
        <v>10</v>
      </c>
      <c r="B62" s="196">
        <v>0.441</v>
      </c>
      <c r="C62" s="196"/>
      <c r="D62" s="196"/>
      <c r="E62" s="196"/>
      <c r="F62" s="197">
        <v>0.441</v>
      </c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199" t="s">
        <v>7</v>
      </c>
      <c r="B63" s="196">
        <v>0</v>
      </c>
      <c r="C63" s="196">
        <v>0</v>
      </c>
      <c r="D63" s="196">
        <v>0</v>
      </c>
      <c r="E63" s="196">
        <v>0</v>
      </c>
      <c r="F63" s="197"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199" t="s">
        <v>8</v>
      </c>
      <c r="B64" s="196">
        <v>0</v>
      </c>
      <c r="C64" s="196"/>
      <c r="D64" s="196"/>
      <c r="E64" s="196"/>
      <c r="F64" s="20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199" t="s">
        <v>39</v>
      </c>
      <c r="B65" s="196">
        <v>0</v>
      </c>
      <c r="C65" s="200">
        <v>0</v>
      </c>
      <c r="D65" s="200">
        <v>0</v>
      </c>
      <c r="E65" s="200">
        <v>0</v>
      </c>
      <c r="F65" s="201"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199" t="s">
        <v>9</v>
      </c>
      <c r="B66" s="196">
        <v>0</v>
      </c>
      <c r="C66" s="196"/>
      <c r="D66" s="196"/>
      <c r="E66" s="196"/>
      <c r="F66" s="201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195" t="s">
        <v>48</v>
      </c>
      <c r="B67" s="196">
        <v>2776.241</v>
      </c>
      <c r="C67" s="196">
        <v>2549.979</v>
      </c>
      <c r="D67" s="196">
        <v>0</v>
      </c>
      <c r="E67" s="196">
        <v>226.262</v>
      </c>
      <c r="F67" s="197">
        <v>0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199" t="s">
        <v>10</v>
      </c>
      <c r="B68" s="196">
        <v>2545.471</v>
      </c>
      <c r="C68" s="196">
        <v>2319.209</v>
      </c>
      <c r="D68" s="196"/>
      <c r="E68" s="196">
        <v>226.262</v>
      </c>
      <c r="F68" s="197"/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28" t="s">
        <v>79</v>
      </c>
      <c r="B69" s="202">
        <v>230.77</v>
      </c>
      <c r="C69" s="202">
        <v>230.77</v>
      </c>
      <c r="D69" s="230"/>
      <c r="E69" s="230"/>
      <c r="F69" s="19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198" t="s">
        <v>31</v>
      </c>
      <c r="B70" s="203">
        <v>0.359</v>
      </c>
      <c r="C70" s="202">
        <v>0.359</v>
      </c>
      <c r="D70" s="230"/>
      <c r="E70" s="230"/>
      <c r="F70" s="197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199" t="s">
        <v>7</v>
      </c>
      <c r="B71" s="196">
        <v>0</v>
      </c>
      <c r="C71" s="196">
        <v>0</v>
      </c>
      <c r="D71" s="196">
        <v>0</v>
      </c>
      <c r="E71" s="196">
        <v>0</v>
      </c>
      <c r="F71" s="197"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199" t="s">
        <v>8</v>
      </c>
      <c r="B72" s="196">
        <v>0</v>
      </c>
      <c r="C72" s="196"/>
      <c r="D72" s="196"/>
      <c r="E72" s="196"/>
      <c r="F72" s="20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199" t="s">
        <v>39</v>
      </c>
      <c r="B73" s="196">
        <v>0</v>
      </c>
      <c r="C73" s="200">
        <v>0</v>
      </c>
      <c r="D73" s="200">
        <v>0</v>
      </c>
      <c r="E73" s="200">
        <v>0</v>
      </c>
      <c r="F73" s="201">
        <v>0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199" t="s">
        <v>9</v>
      </c>
      <c r="B74" s="196">
        <v>0</v>
      </c>
      <c r="C74" s="196"/>
      <c r="D74" s="196"/>
      <c r="E74" s="196"/>
      <c r="F74" s="20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231" t="s">
        <v>16</v>
      </c>
      <c r="B75" s="196">
        <v>598.7090000000001</v>
      </c>
      <c r="C75" s="196">
        <v>0</v>
      </c>
      <c r="D75" s="196">
        <v>0</v>
      </c>
      <c r="E75" s="196">
        <v>461.897</v>
      </c>
      <c r="F75" s="197">
        <v>136.812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199" t="s">
        <v>10</v>
      </c>
      <c r="B76" s="196">
        <v>537.105</v>
      </c>
      <c r="C76" s="196"/>
      <c r="D76" s="196"/>
      <c r="E76" s="208">
        <v>451.885</v>
      </c>
      <c r="F76" s="197">
        <v>85.22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198" t="s">
        <v>80</v>
      </c>
      <c r="B77" s="202">
        <v>61.604</v>
      </c>
      <c r="C77" s="202"/>
      <c r="D77" s="202"/>
      <c r="E77" s="202">
        <v>10.012</v>
      </c>
      <c r="F77" s="227">
        <v>51.592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198" t="s">
        <v>26</v>
      </c>
      <c r="B78" s="202">
        <v>0.095</v>
      </c>
      <c r="C78" s="202"/>
      <c r="D78" s="202"/>
      <c r="E78" s="202">
        <v>0.018</v>
      </c>
      <c r="F78" s="227">
        <v>0.077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199" t="s">
        <v>7</v>
      </c>
      <c r="B79" s="196">
        <v>0</v>
      </c>
      <c r="C79" s="196">
        <v>0</v>
      </c>
      <c r="D79" s="196">
        <v>0</v>
      </c>
      <c r="E79" s="196">
        <v>0</v>
      </c>
      <c r="F79" s="197"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199" t="s">
        <v>8</v>
      </c>
      <c r="B80" s="196">
        <v>0</v>
      </c>
      <c r="C80" s="200"/>
      <c r="D80" s="196"/>
      <c r="E80" s="196"/>
      <c r="F80" s="197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199" t="s">
        <v>39</v>
      </c>
      <c r="B81" s="196">
        <v>0</v>
      </c>
      <c r="C81" s="200"/>
      <c r="D81" s="200"/>
      <c r="E81" s="200"/>
      <c r="F81" s="20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199" t="s">
        <v>9</v>
      </c>
      <c r="B82" s="196">
        <v>0</v>
      </c>
      <c r="C82" s="200"/>
      <c r="D82" s="196"/>
      <c r="E82" s="200"/>
      <c r="F82" s="201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31" t="s">
        <v>4</v>
      </c>
      <c r="B83" s="196">
        <v>141.599</v>
      </c>
      <c r="C83" s="196">
        <v>141.599</v>
      </c>
      <c r="D83" s="196">
        <v>0</v>
      </c>
      <c r="E83" s="196">
        <v>0</v>
      </c>
      <c r="F83" s="197">
        <v>0</v>
      </c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198" t="s">
        <v>21</v>
      </c>
      <c r="B84" s="196">
        <v>141.599</v>
      </c>
      <c r="C84" s="196">
        <v>141.599</v>
      </c>
      <c r="D84" s="196"/>
      <c r="E84" s="196"/>
      <c r="F84" s="197"/>
      <c r="G84" s="120"/>
      <c r="H84" s="120"/>
    </row>
    <row r="85" spans="1:8" s="30" customFormat="1" ht="32.25" customHeight="1">
      <c r="A85" s="199" t="s">
        <v>7</v>
      </c>
      <c r="B85" s="196">
        <v>0</v>
      </c>
      <c r="C85" s="196">
        <v>0</v>
      </c>
      <c r="D85" s="196">
        <v>0</v>
      </c>
      <c r="E85" s="196">
        <v>0</v>
      </c>
      <c r="F85" s="197">
        <v>0</v>
      </c>
      <c r="G85" s="120"/>
      <c r="H85" s="120"/>
    </row>
    <row r="86" spans="1:18" s="3" customFormat="1" ht="32.25" customHeight="1">
      <c r="A86" s="199" t="s">
        <v>8</v>
      </c>
      <c r="B86" s="196">
        <v>0</v>
      </c>
      <c r="C86" s="200"/>
      <c r="D86" s="196"/>
      <c r="E86" s="196"/>
      <c r="F86" s="197"/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199" t="s">
        <v>39</v>
      </c>
      <c r="B87" s="196">
        <v>0</v>
      </c>
      <c r="C87" s="200">
        <v>0</v>
      </c>
      <c r="D87" s="200">
        <v>0</v>
      </c>
      <c r="E87" s="200">
        <v>0</v>
      </c>
      <c r="F87" s="201">
        <v>0</v>
      </c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199" t="s">
        <v>9</v>
      </c>
      <c r="B88" s="196">
        <v>0</v>
      </c>
      <c r="C88" s="200"/>
      <c r="D88" s="196"/>
      <c r="E88" s="196"/>
      <c r="F88" s="197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195" t="s">
        <v>58</v>
      </c>
      <c r="B89" s="196">
        <v>1717.939</v>
      </c>
      <c r="C89" s="196">
        <v>1146.748</v>
      </c>
      <c r="D89" s="196">
        <v>0</v>
      </c>
      <c r="E89" s="196">
        <v>198.308</v>
      </c>
      <c r="F89" s="197">
        <v>372.88300000000004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199" t="s">
        <v>10</v>
      </c>
      <c r="B90" s="196">
        <v>390.3080000000001</v>
      </c>
      <c r="C90" s="196">
        <v>95.75600000000009</v>
      </c>
      <c r="D90" s="196"/>
      <c r="E90" s="196">
        <v>195.688</v>
      </c>
      <c r="F90" s="197">
        <v>98.864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198" t="s">
        <v>81</v>
      </c>
      <c r="B91" s="202">
        <v>1053.6119999999999</v>
      </c>
      <c r="C91" s="202">
        <v>1050.992</v>
      </c>
      <c r="D91" s="202"/>
      <c r="E91" s="202">
        <v>2.62</v>
      </c>
      <c r="F91" s="22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198" t="s">
        <v>26</v>
      </c>
      <c r="B92" s="203">
        <v>1.648</v>
      </c>
      <c r="C92" s="202">
        <v>1.644</v>
      </c>
      <c r="D92" s="225"/>
      <c r="E92" s="203">
        <v>0.004</v>
      </c>
      <c r="F92" s="229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199" t="s">
        <v>7</v>
      </c>
      <c r="B93" s="196">
        <v>274.019</v>
      </c>
      <c r="C93" s="196">
        <v>0</v>
      </c>
      <c r="D93" s="196">
        <v>0</v>
      </c>
      <c r="E93" s="196">
        <v>0</v>
      </c>
      <c r="F93" s="197">
        <v>274.019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199" t="s">
        <v>8</v>
      </c>
      <c r="B94" s="196">
        <v>248.906</v>
      </c>
      <c r="C94" s="200"/>
      <c r="D94" s="196"/>
      <c r="E94" s="196"/>
      <c r="F94" s="201">
        <v>248.906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199" t="s">
        <v>39</v>
      </c>
      <c r="B95" s="196">
        <v>0</v>
      </c>
      <c r="C95" s="200">
        <v>0</v>
      </c>
      <c r="D95" s="200">
        <v>0</v>
      </c>
      <c r="E95" s="200">
        <v>0</v>
      </c>
      <c r="F95" s="201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199" t="s">
        <v>9</v>
      </c>
      <c r="B96" s="196">
        <v>25.113</v>
      </c>
      <c r="C96" s="200"/>
      <c r="D96" s="196"/>
      <c r="E96" s="196"/>
      <c r="F96" s="201">
        <v>25.113</v>
      </c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195" t="s">
        <v>15</v>
      </c>
      <c r="B97" s="196">
        <v>2209.852</v>
      </c>
      <c r="C97" s="196">
        <v>2204.752</v>
      </c>
      <c r="D97" s="196">
        <v>0</v>
      </c>
      <c r="E97" s="196">
        <v>0</v>
      </c>
      <c r="F97" s="197">
        <v>5.1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199" t="s">
        <v>10</v>
      </c>
      <c r="B98" s="196">
        <v>974.4989999999999</v>
      </c>
      <c r="C98" s="209">
        <v>969.3989999999999</v>
      </c>
      <c r="D98" s="209"/>
      <c r="E98" s="209"/>
      <c r="F98" s="210">
        <v>5.1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198" t="s">
        <v>38</v>
      </c>
      <c r="B99" s="202">
        <v>1235.353</v>
      </c>
      <c r="C99" s="202">
        <v>1235.353</v>
      </c>
      <c r="D99" s="202"/>
      <c r="E99" s="202"/>
      <c r="F99" s="227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198" t="s">
        <v>26</v>
      </c>
      <c r="B100" s="202">
        <v>0.892</v>
      </c>
      <c r="C100" s="202">
        <v>0.892</v>
      </c>
      <c r="D100" s="202"/>
      <c r="E100" s="204"/>
      <c r="F100" s="20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199" t="s">
        <v>7</v>
      </c>
      <c r="B101" s="196">
        <v>0</v>
      </c>
      <c r="C101" s="196">
        <v>0</v>
      </c>
      <c r="D101" s="196">
        <v>0</v>
      </c>
      <c r="E101" s="196">
        <v>0</v>
      </c>
      <c r="F101" s="197"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199" t="s">
        <v>8</v>
      </c>
      <c r="B102" s="196">
        <v>0</v>
      </c>
      <c r="C102" s="200"/>
      <c r="D102" s="196"/>
      <c r="E102" s="196"/>
      <c r="F102" s="197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199" t="s">
        <v>39</v>
      </c>
      <c r="B103" s="196">
        <v>0</v>
      </c>
      <c r="C103" s="200">
        <v>0</v>
      </c>
      <c r="D103" s="200">
        <v>0</v>
      </c>
      <c r="E103" s="200">
        <v>0</v>
      </c>
      <c r="F103" s="201">
        <v>0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199" t="s">
        <v>9</v>
      </c>
      <c r="B104" s="196">
        <v>0</v>
      </c>
      <c r="C104" s="200"/>
      <c r="D104" s="196"/>
      <c r="E104" s="196"/>
      <c r="F104" s="19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195" t="s">
        <v>57</v>
      </c>
      <c r="B105" s="196">
        <v>18.412</v>
      </c>
      <c r="C105" s="196">
        <v>0</v>
      </c>
      <c r="D105" s="196">
        <v>0</v>
      </c>
      <c r="E105" s="196">
        <v>18.412</v>
      </c>
      <c r="F105" s="197">
        <v>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199" t="s">
        <v>10</v>
      </c>
      <c r="B106" s="196">
        <v>18.412</v>
      </c>
      <c r="C106" s="209"/>
      <c r="D106" s="209"/>
      <c r="E106" s="209">
        <v>18.412</v>
      </c>
      <c r="F106" s="2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199" t="s">
        <v>7</v>
      </c>
      <c r="B107" s="196">
        <v>0</v>
      </c>
      <c r="C107" s="196">
        <v>0</v>
      </c>
      <c r="D107" s="196">
        <v>0</v>
      </c>
      <c r="E107" s="196">
        <v>0</v>
      </c>
      <c r="F107" s="197">
        <v>0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199" t="s">
        <v>8</v>
      </c>
      <c r="B108" s="196">
        <v>0</v>
      </c>
      <c r="C108" s="200"/>
      <c r="D108" s="196"/>
      <c r="E108" s="200"/>
      <c r="F108" s="201"/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199" t="s">
        <v>39</v>
      </c>
      <c r="B109" s="196">
        <v>0</v>
      </c>
      <c r="C109" s="200">
        <v>0</v>
      </c>
      <c r="D109" s="200">
        <v>0</v>
      </c>
      <c r="E109" s="200">
        <v>0</v>
      </c>
      <c r="F109" s="201">
        <v>0</v>
      </c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199" t="s">
        <v>9</v>
      </c>
      <c r="B110" s="196">
        <v>0</v>
      </c>
      <c r="C110" s="200"/>
      <c r="D110" s="196"/>
      <c r="E110" s="200"/>
      <c r="F110" s="201"/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195" t="s">
        <v>14</v>
      </c>
      <c r="B111" s="196">
        <v>104.08</v>
      </c>
      <c r="C111" s="196">
        <v>0</v>
      </c>
      <c r="D111" s="196">
        <v>0</v>
      </c>
      <c r="E111" s="196">
        <v>0</v>
      </c>
      <c r="F111" s="197">
        <v>104.08</v>
      </c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199" t="s">
        <v>10</v>
      </c>
      <c r="B112" s="196">
        <v>3.634</v>
      </c>
      <c r="C112" s="200"/>
      <c r="D112" s="196"/>
      <c r="E112" s="196"/>
      <c r="F112" s="210">
        <v>3.634</v>
      </c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199" t="s">
        <v>7</v>
      </c>
      <c r="B113" s="196">
        <v>100.446</v>
      </c>
      <c r="C113" s="196">
        <v>0</v>
      </c>
      <c r="D113" s="196">
        <v>0</v>
      </c>
      <c r="E113" s="196">
        <v>0</v>
      </c>
      <c r="F113" s="197">
        <v>100.446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199" t="s">
        <v>8</v>
      </c>
      <c r="B114" s="196">
        <v>100.446</v>
      </c>
      <c r="C114" s="200"/>
      <c r="D114" s="196"/>
      <c r="E114" s="200"/>
      <c r="F114" s="201">
        <v>100.446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199" t="s">
        <v>39</v>
      </c>
      <c r="B115" s="196">
        <v>0</v>
      </c>
      <c r="C115" s="200">
        <v>0</v>
      </c>
      <c r="D115" s="200">
        <v>0</v>
      </c>
      <c r="E115" s="200">
        <v>0</v>
      </c>
      <c r="F115" s="201">
        <v>0</v>
      </c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199" t="s">
        <v>9</v>
      </c>
      <c r="B116" s="196">
        <v>0</v>
      </c>
      <c r="C116" s="200"/>
      <c r="D116" s="196"/>
      <c r="E116" s="200"/>
      <c r="F116" s="201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195" t="s">
        <v>18</v>
      </c>
      <c r="B117" s="196">
        <v>203.856</v>
      </c>
      <c r="C117" s="196">
        <v>0</v>
      </c>
      <c r="D117" s="196">
        <v>0</v>
      </c>
      <c r="E117" s="196">
        <v>12.165</v>
      </c>
      <c r="F117" s="197">
        <v>191.691</v>
      </c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199" t="s">
        <v>10</v>
      </c>
      <c r="B118" s="196">
        <v>55.131</v>
      </c>
      <c r="C118" s="200"/>
      <c r="D118" s="196"/>
      <c r="E118" s="209">
        <v>12.165</v>
      </c>
      <c r="F118" s="210">
        <v>42.966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198" t="s">
        <v>82</v>
      </c>
      <c r="B119" s="202">
        <v>1.878</v>
      </c>
      <c r="C119" s="202"/>
      <c r="D119" s="202"/>
      <c r="E119" s="204"/>
      <c r="F119" s="227">
        <v>1.878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198" t="s">
        <v>26</v>
      </c>
      <c r="B120" s="202">
        <v>0.003</v>
      </c>
      <c r="C120" s="202"/>
      <c r="D120" s="202"/>
      <c r="E120" s="204"/>
      <c r="F120" s="227">
        <v>0.003</v>
      </c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199" t="s">
        <v>7</v>
      </c>
      <c r="B121" s="196">
        <v>146.847</v>
      </c>
      <c r="C121" s="196">
        <v>0</v>
      </c>
      <c r="D121" s="196">
        <v>0</v>
      </c>
      <c r="E121" s="196">
        <v>0</v>
      </c>
      <c r="F121" s="197">
        <v>146.847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199" t="s">
        <v>8</v>
      </c>
      <c r="B122" s="196">
        <v>0</v>
      </c>
      <c r="C122" s="200"/>
      <c r="D122" s="196"/>
      <c r="E122" s="196"/>
      <c r="F122" s="197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199" t="s">
        <v>39</v>
      </c>
      <c r="B123" s="196">
        <v>0</v>
      </c>
      <c r="C123" s="200">
        <v>0</v>
      </c>
      <c r="D123" s="200">
        <v>0</v>
      </c>
      <c r="E123" s="200">
        <v>0</v>
      </c>
      <c r="F123" s="201">
        <v>0</v>
      </c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199" t="s">
        <v>9</v>
      </c>
      <c r="B124" s="196">
        <v>146.847</v>
      </c>
      <c r="C124" s="200"/>
      <c r="D124" s="196"/>
      <c r="E124" s="196"/>
      <c r="F124" s="197">
        <v>146.847</v>
      </c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195" t="s">
        <v>13</v>
      </c>
      <c r="B125" s="196">
        <v>100.929</v>
      </c>
      <c r="C125" s="196">
        <v>0</v>
      </c>
      <c r="D125" s="196">
        <v>0</v>
      </c>
      <c r="E125" s="196">
        <v>100.929</v>
      </c>
      <c r="F125" s="197">
        <v>0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199" t="s">
        <v>10</v>
      </c>
      <c r="B126" s="196">
        <v>100.929</v>
      </c>
      <c r="C126" s="209"/>
      <c r="D126" s="209"/>
      <c r="E126" s="209">
        <v>100.929</v>
      </c>
      <c r="F126" s="210"/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199" t="s">
        <v>7</v>
      </c>
      <c r="B127" s="196">
        <v>0</v>
      </c>
      <c r="C127" s="196">
        <v>0</v>
      </c>
      <c r="D127" s="196">
        <v>0</v>
      </c>
      <c r="E127" s="196">
        <v>0</v>
      </c>
      <c r="F127" s="197"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199" t="s">
        <v>8</v>
      </c>
      <c r="B128" s="196">
        <v>0</v>
      </c>
      <c r="C128" s="200"/>
      <c r="D128" s="196"/>
      <c r="E128" s="200"/>
      <c r="F128" s="201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199" t="s">
        <v>39</v>
      </c>
      <c r="B129" s="196">
        <v>0</v>
      </c>
      <c r="C129" s="200">
        <v>0</v>
      </c>
      <c r="D129" s="200">
        <v>0</v>
      </c>
      <c r="E129" s="200">
        <v>0</v>
      </c>
      <c r="F129" s="201">
        <v>0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199" t="s">
        <v>9</v>
      </c>
      <c r="B130" s="196">
        <v>0</v>
      </c>
      <c r="C130" s="200"/>
      <c r="D130" s="196"/>
      <c r="E130" s="200"/>
      <c r="F130" s="201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195" t="s">
        <v>62</v>
      </c>
      <c r="B131" s="196">
        <v>23.095</v>
      </c>
      <c r="C131" s="196">
        <v>0</v>
      </c>
      <c r="D131" s="196">
        <v>0</v>
      </c>
      <c r="E131" s="196">
        <v>0</v>
      </c>
      <c r="F131" s="197">
        <v>23.095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199" t="s">
        <v>10</v>
      </c>
      <c r="B132" s="196">
        <v>23.095</v>
      </c>
      <c r="C132" s="200"/>
      <c r="D132" s="196"/>
      <c r="E132" s="196"/>
      <c r="F132" s="210">
        <v>23.095</v>
      </c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199" t="s">
        <v>7</v>
      </c>
      <c r="B133" s="196">
        <v>0</v>
      </c>
      <c r="C133" s="196">
        <v>0</v>
      </c>
      <c r="D133" s="196">
        <v>0</v>
      </c>
      <c r="E133" s="196">
        <v>0</v>
      </c>
      <c r="F133" s="197"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199" t="s">
        <v>8</v>
      </c>
      <c r="B134" s="196">
        <v>0</v>
      </c>
      <c r="C134" s="200"/>
      <c r="D134" s="196"/>
      <c r="E134" s="200"/>
      <c r="F134" s="201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199" t="s">
        <v>39</v>
      </c>
      <c r="B135" s="196">
        <v>0</v>
      </c>
      <c r="C135" s="200">
        <v>0</v>
      </c>
      <c r="D135" s="200">
        <v>0</v>
      </c>
      <c r="E135" s="200">
        <v>0</v>
      </c>
      <c r="F135" s="201">
        <v>0</v>
      </c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199" t="s">
        <v>9</v>
      </c>
      <c r="B136" s="196">
        <v>0</v>
      </c>
      <c r="C136" s="200"/>
      <c r="D136" s="196"/>
      <c r="E136" s="200"/>
      <c r="F136" s="201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195" t="s">
        <v>83</v>
      </c>
      <c r="B137" s="196">
        <v>383.901</v>
      </c>
      <c r="C137" s="196">
        <v>323.474</v>
      </c>
      <c r="D137" s="196">
        <v>0</v>
      </c>
      <c r="E137" s="196">
        <v>60.427</v>
      </c>
      <c r="F137" s="197"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199" t="s">
        <v>10</v>
      </c>
      <c r="B138" s="196">
        <v>383.901</v>
      </c>
      <c r="C138" s="196">
        <v>323.474</v>
      </c>
      <c r="D138" s="196"/>
      <c r="E138" s="196">
        <v>60.427</v>
      </c>
      <c r="F138" s="210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199" t="s">
        <v>7</v>
      </c>
      <c r="B139" s="196">
        <v>0</v>
      </c>
      <c r="C139" s="196">
        <v>0</v>
      </c>
      <c r="D139" s="196">
        <v>0</v>
      </c>
      <c r="E139" s="196">
        <v>0</v>
      </c>
      <c r="F139" s="197"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199" t="s">
        <v>8</v>
      </c>
      <c r="B140" s="196">
        <v>0</v>
      </c>
      <c r="C140" s="200"/>
      <c r="D140" s="196"/>
      <c r="E140" s="196"/>
      <c r="F140" s="19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199" t="s">
        <v>39</v>
      </c>
      <c r="B141" s="196">
        <v>0</v>
      </c>
      <c r="C141" s="200">
        <v>0</v>
      </c>
      <c r="D141" s="200">
        <v>0</v>
      </c>
      <c r="E141" s="200">
        <v>0</v>
      </c>
      <c r="F141" s="201">
        <v>0</v>
      </c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199" t="s">
        <v>9</v>
      </c>
      <c r="B142" s="196">
        <v>0</v>
      </c>
      <c r="C142" s="200"/>
      <c r="D142" s="196"/>
      <c r="E142" s="196"/>
      <c r="F142" s="19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195" t="s">
        <v>56</v>
      </c>
      <c r="B143" s="196">
        <v>214.451</v>
      </c>
      <c r="C143" s="196">
        <v>0</v>
      </c>
      <c r="D143" s="196">
        <v>0</v>
      </c>
      <c r="E143" s="196">
        <v>214.451</v>
      </c>
      <c r="F143" s="197">
        <v>0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199" t="s">
        <v>10</v>
      </c>
      <c r="B144" s="196">
        <v>98.246</v>
      </c>
      <c r="C144" s="196"/>
      <c r="D144" s="196"/>
      <c r="E144" s="196">
        <v>98.246</v>
      </c>
      <c r="F144" s="197"/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199" t="s">
        <v>7</v>
      </c>
      <c r="B145" s="196">
        <v>116.205</v>
      </c>
      <c r="C145" s="196">
        <v>0</v>
      </c>
      <c r="D145" s="196">
        <v>0</v>
      </c>
      <c r="E145" s="196">
        <v>116.205</v>
      </c>
      <c r="F145" s="197">
        <v>0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199" t="s">
        <v>8</v>
      </c>
      <c r="B146" s="196">
        <v>116.205</v>
      </c>
      <c r="C146" s="196"/>
      <c r="D146" s="196"/>
      <c r="E146" s="200">
        <v>116.205</v>
      </c>
      <c r="F146" s="201"/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199" t="s">
        <v>39</v>
      </c>
      <c r="B147" s="196">
        <v>0</v>
      </c>
      <c r="C147" s="200">
        <v>0</v>
      </c>
      <c r="D147" s="200">
        <v>0</v>
      </c>
      <c r="E147" s="200">
        <v>0</v>
      </c>
      <c r="F147" s="201">
        <v>0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199" t="s">
        <v>9</v>
      </c>
      <c r="B148" s="196">
        <v>0</v>
      </c>
      <c r="C148" s="196"/>
      <c r="D148" s="196"/>
      <c r="E148" s="200"/>
      <c r="F148" s="201"/>
      <c r="G148" s="120"/>
      <c r="H148" s="120"/>
    </row>
    <row r="149" spans="1:8" s="30" customFormat="1" ht="32.25" customHeight="1">
      <c r="A149" s="195" t="s">
        <v>6</v>
      </c>
      <c r="B149" s="196">
        <v>1522.555</v>
      </c>
      <c r="C149" s="196">
        <v>0</v>
      </c>
      <c r="D149" s="196">
        <v>0</v>
      </c>
      <c r="E149" s="196">
        <v>791.571</v>
      </c>
      <c r="F149" s="197">
        <v>730.9839999999999</v>
      </c>
      <c r="G149" s="120"/>
      <c r="H149" s="120"/>
    </row>
    <row r="150" spans="1:18" s="3" customFormat="1" ht="32.25" customHeight="1">
      <c r="A150" s="199" t="s">
        <v>10</v>
      </c>
      <c r="B150" s="196">
        <v>705.2570000000001</v>
      </c>
      <c r="C150" s="196"/>
      <c r="D150" s="196"/>
      <c r="E150" s="196">
        <v>567.683</v>
      </c>
      <c r="F150" s="197">
        <v>137.574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199" t="s">
        <v>7</v>
      </c>
      <c r="B151" s="196">
        <v>817.298</v>
      </c>
      <c r="C151" s="196">
        <v>0</v>
      </c>
      <c r="D151" s="196">
        <v>0</v>
      </c>
      <c r="E151" s="196">
        <v>223.888</v>
      </c>
      <c r="F151" s="197">
        <v>593.41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199" t="s">
        <v>8</v>
      </c>
      <c r="B152" s="196">
        <v>593.152</v>
      </c>
      <c r="C152" s="196"/>
      <c r="D152" s="196"/>
      <c r="E152" s="200">
        <v>188.187</v>
      </c>
      <c r="F152" s="201">
        <v>404.965</v>
      </c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199" t="s">
        <v>39</v>
      </c>
      <c r="B153" s="196">
        <v>89.17099999999999</v>
      </c>
      <c r="C153" s="196"/>
      <c r="D153" s="196"/>
      <c r="E153" s="200">
        <v>34.185</v>
      </c>
      <c r="F153" s="201">
        <v>54.986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199" t="s">
        <v>9</v>
      </c>
      <c r="B154" s="196">
        <v>134.975</v>
      </c>
      <c r="C154" s="196"/>
      <c r="D154" s="196"/>
      <c r="E154" s="200">
        <v>1.516</v>
      </c>
      <c r="F154" s="201">
        <v>133.459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195" t="s">
        <v>5</v>
      </c>
      <c r="B155" s="196">
        <v>2791.3610000000003</v>
      </c>
      <c r="C155" s="196">
        <v>373.446</v>
      </c>
      <c r="D155" s="196">
        <v>0</v>
      </c>
      <c r="E155" s="196">
        <v>1433.5890000000002</v>
      </c>
      <c r="F155" s="197">
        <v>984.326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199" t="s">
        <v>10</v>
      </c>
      <c r="B156" s="196">
        <v>1346.7330000000002</v>
      </c>
      <c r="C156" s="196"/>
      <c r="D156" s="196"/>
      <c r="E156" s="196">
        <v>1110.178</v>
      </c>
      <c r="F156" s="197">
        <v>236.555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198" t="s">
        <v>50</v>
      </c>
      <c r="B157" s="202">
        <v>373.446</v>
      </c>
      <c r="C157" s="232">
        <v>373.446</v>
      </c>
      <c r="D157" s="202"/>
      <c r="E157" s="202"/>
      <c r="F157" s="22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198" t="s">
        <v>26</v>
      </c>
      <c r="B158" s="203">
        <v>0.554</v>
      </c>
      <c r="C158" s="232">
        <v>0.554</v>
      </c>
      <c r="D158" s="225"/>
      <c r="E158" s="225"/>
      <c r="F158" s="229"/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199" t="s">
        <v>7</v>
      </c>
      <c r="B159" s="196">
        <v>1071.182</v>
      </c>
      <c r="C159" s="196">
        <v>0</v>
      </c>
      <c r="D159" s="196">
        <v>0</v>
      </c>
      <c r="E159" s="196">
        <v>323.411</v>
      </c>
      <c r="F159" s="197">
        <v>747.771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199" t="s">
        <v>8</v>
      </c>
      <c r="B160" s="196">
        <v>855.179</v>
      </c>
      <c r="C160" s="200"/>
      <c r="D160" s="200"/>
      <c r="E160" s="200">
        <v>228.134</v>
      </c>
      <c r="F160" s="201">
        <v>627.045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199" t="s">
        <v>39</v>
      </c>
      <c r="B161" s="196">
        <v>201.322</v>
      </c>
      <c r="C161" s="200"/>
      <c r="D161" s="200"/>
      <c r="E161" s="200">
        <v>80.596</v>
      </c>
      <c r="F161" s="201">
        <v>120.726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>
      <c r="A162" s="199" t="s">
        <v>9</v>
      </c>
      <c r="B162" s="196">
        <v>14.681</v>
      </c>
      <c r="C162" s="200"/>
      <c r="D162" s="200"/>
      <c r="E162" s="200">
        <v>14.681</v>
      </c>
      <c r="F162" s="201">
        <v>0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>
      <c r="A163" s="195" t="s">
        <v>17</v>
      </c>
      <c r="B163" s="196">
        <v>5048.161</v>
      </c>
      <c r="C163" s="196">
        <v>0</v>
      </c>
      <c r="D163" s="196">
        <v>0</v>
      </c>
      <c r="E163" s="196">
        <v>887.537</v>
      </c>
      <c r="F163" s="197">
        <v>4160.624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199" t="s">
        <v>10</v>
      </c>
      <c r="B164" s="196">
        <v>1950.4119999999998</v>
      </c>
      <c r="C164" s="196"/>
      <c r="D164" s="196"/>
      <c r="E164" s="196">
        <v>855.351</v>
      </c>
      <c r="F164" s="197">
        <v>1095.061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199" t="s">
        <v>7</v>
      </c>
      <c r="B165" s="196">
        <v>3097.7490000000003</v>
      </c>
      <c r="C165" s="196">
        <v>0</v>
      </c>
      <c r="D165" s="196">
        <v>0</v>
      </c>
      <c r="E165" s="196">
        <v>32.186</v>
      </c>
      <c r="F165" s="197">
        <v>3065.563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199" t="s">
        <v>8</v>
      </c>
      <c r="B166" s="196">
        <v>307.98</v>
      </c>
      <c r="C166" s="200"/>
      <c r="D166" s="196"/>
      <c r="E166" s="200">
        <v>13.517</v>
      </c>
      <c r="F166" s="201">
        <v>294.463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99" t="s">
        <v>39</v>
      </c>
      <c r="B167" s="196">
        <v>0</v>
      </c>
      <c r="C167" s="200">
        <v>0</v>
      </c>
      <c r="D167" s="200">
        <v>0</v>
      </c>
      <c r="E167" s="200"/>
      <c r="F167" s="201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 thickBot="1">
      <c r="A168" s="211" t="s">
        <v>9</v>
      </c>
      <c r="B168" s="212">
        <v>2789.769</v>
      </c>
      <c r="C168" s="213"/>
      <c r="D168" s="212"/>
      <c r="E168" s="213">
        <v>18.669</v>
      </c>
      <c r="F168" s="214">
        <v>2771.1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 thickBot="1">
      <c r="A169" s="233" t="s">
        <v>10</v>
      </c>
      <c r="B169" s="234">
        <v>75465.897</v>
      </c>
      <c r="C169" s="235">
        <v>37851.138</v>
      </c>
      <c r="D169" s="235">
        <v>1195.473</v>
      </c>
      <c r="E169" s="235">
        <v>25057.552999999996</v>
      </c>
      <c r="F169" s="236">
        <v>11361.733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>
      <c r="A170" s="215" t="s">
        <v>40</v>
      </c>
      <c r="B170" s="216">
        <v>54799.187999999995</v>
      </c>
      <c r="C170" s="217">
        <v>20505.578999999998</v>
      </c>
      <c r="D170" s="217">
        <v>888.7959999999999</v>
      </c>
      <c r="E170" s="217">
        <v>22138.960999999996</v>
      </c>
      <c r="F170" s="218">
        <v>11265.852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>
      <c r="A171" s="215" t="s">
        <v>42</v>
      </c>
      <c r="B171" s="237">
        <v>19036.844</v>
      </c>
      <c r="C171" s="196">
        <v>15715.694000000001</v>
      </c>
      <c r="D171" s="196">
        <v>306.677</v>
      </c>
      <c r="E171" s="196">
        <v>2918.592</v>
      </c>
      <c r="F171" s="197">
        <v>95.881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215" t="s">
        <v>41</v>
      </c>
      <c r="B172" s="237">
        <v>31.473999999999993</v>
      </c>
      <c r="C172" s="196">
        <v>24.968999999999994</v>
      </c>
      <c r="D172" s="196">
        <v>0.955</v>
      </c>
      <c r="E172" s="196">
        <v>5.401</v>
      </c>
      <c r="F172" s="197">
        <v>0.14900000000000002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99" t="s">
        <v>45</v>
      </c>
      <c r="B173" s="237">
        <v>2146.989</v>
      </c>
      <c r="C173" s="196">
        <v>2146.989</v>
      </c>
      <c r="D173" s="196">
        <v>0</v>
      </c>
      <c r="E173" s="196">
        <v>0</v>
      </c>
      <c r="F173" s="197">
        <v>0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>
      <c r="A174" s="215" t="s">
        <v>46</v>
      </c>
      <c r="B174" s="237">
        <v>4.759</v>
      </c>
      <c r="C174" s="196">
        <v>4.759</v>
      </c>
      <c r="D174" s="196">
        <v>0</v>
      </c>
      <c r="E174" s="196">
        <v>0</v>
      </c>
      <c r="F174" s="197">
        <v>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3.25">
      <c r="A175" s="238" t="s">
        <v>22</v>
      </c>
      <c r="B175" s="237">
        <v>1629.865</v>
      </c>
      <c r="C175" s="196">
        <v>1629.865</v>
      </c>
      <c r="D175" s="196"/>
      <c r="E175" s="196"/>
      <c r="F175" s="197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 thickBot="1">
      <c r="A176" s="238" t="s">
        <v>23</v>
      </c>
      <c r="B176" s="239">
        <v>4.757</v>
      </c>
      <c r="C176" s="212">
        <v>4.757</v>
      </c>
      <c r="D176" s="212"/>
      <c r="E176" s="212"/>
      <c r="F176" s="240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233" t="s">
        <v>11</v>
      </c>
      <c r="B177" s="241">
        <v>25785.214</v>
      </c>
      <c r="C177" s="242">
        <v>109.65299999999999</v>
      </c>
      <c r="D177" s="242">
        <v>1.51</v>
      </c>
      <c r="E177" s="242">
        <v>1781.761</v>
      </c>
      <c r="F177" s="243">
        <v>23892.29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>
      <c r="A178" s="244" t="s">
        <v>8</v>
      </c>
      <c r="B178" s="216">
        <v>10199.39</v>
      </c>
      <c r="C178" s="217">
        <v>27.406999999999996</v>
      </c>
      <c r="D178" s="217">
        <v>0</v>
      </c>
      <c r="E178" s="217">
        <v>952.3880000000001</v>
      </c>
      <c r="F178" s="218">
        <v>9219.595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3.25">
      <c r="A179" s="245" t="s">
        <v>39</v>
      </c>
      <c r="B179" s="237">
        <v>857.469</v>
      </c>
      <c r="C179" s="196">
        <v>0</v>
      </c>
      <c r="D179" s="196">
        <v>0</v>
      </c>
      <c r="E179" s="196">
        <v>114.781</v>
      </c>
      <c r="F179" s="197">
        <v>742.688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246" t="s">
        <v>9</v>
      </c>
      <c r="B180" s="239">
        <v>14728.355</v>
      </c>
      <c r="C180" s="212">
        <v>82.246</v>
      </c>
      <c r="D180" s="212">
        <v>1.51</v>
      </c>
      <c r="E180" s="212">
        <v>714.592</v>
      </c>
      <c r="F180" s="240">
        <v>13930.007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247" t="s">
        <v>28</v>
      </c>
      <c r="B181" s="248">
        <v>40.99</v>
      </c>
      <c r="C181" s="249">
        <v>34.485</v>
      </c>
      <c r="D181" s="249">
        <v>0.955</v>
      </c>
      <c r="E181" s="249">
        <v>5.401</v>
      </c>
      <c r="F181" s="250">
        <v>0.14900000000000002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3.25">
      <c r="A182" s="251" t="s">
        <v>29</v>
      </c>
      <c r="B182" s="216">
        <v>36.23299999999999</v>
      </c>
      <c r="C182" s="217">
        <v>29.727999999999994</v>
      </c>
      <c r="D182" s="217">
        <v>0.955</v>
      </c>
      <c r="E182" s="217">
        <v>5.401</v>
      </c>
      <c r="F182" s="218">
        <v>0.14900000000000002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4" thickBot="1">
      <c r="A183" s="252" t="s">
        <v>84</v>
      </c>
      <c r="B183" s="239">
        <v>4.757</v>
      </c>
      <c r="C183" s="212">
        <v>4.757</v>
      </c>
      <c r="D183" s="212">
        <v>0</v>
      </c>
      <c r="E183" s="212">
        <v>0</v>
      </c>
      <c r="F183" s="240"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253"/>
      <c r="B184" s="254"/>
      <c r="C184" s="254"/>
      <c r="D184" s="254"/>
      <c r="E184" s="254"/>
      <c r="F184" s="2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255" t="s">
        <v>51</v>
      </c>
      <c r="B185" s="248">
        <v>64809.741</v>
      </c>
      <c r="C185" s="250">
        <v>22063.292</v>
      </c>
      <c r="D185" s="250">
        <v>1137.635</v>
      </c>
      <c r="E185" s="250">
        <v>18701.074</v>
      </c>
      <c r="F185" s="250">
        <v>22907.74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4" thickBot="1">
      <c r="A186" s="255" t="s">
        <v>53</v>
      </c>
      <c r="B186" s="248">
        <v>2146.989</v>
      </c>
      <c r="C186" s="236">
        <v>2146.989</v>
      </c>
      <c r="D186" s="236">
        <v>0</v>
      </c>
      <c r="E186" s="236">
        <v>0</v>
      </c>
      <c r="F186" s="236"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4" thickBot="1">
      <c r="A187" s="255" t="s">
        <v>52</v>
      </c>
      <c r="B187" s="248">
        <v>36441.37</v>
      </c>
      <c r="C187" s="236">
        <v>15897.499</v>
      </c>
      <c r="D187" s="236">
        <v>59.348</v>
      </c>
      <c r="E187" s="236">
        <v>8138.24</v>
      </c>
      <c r="F187" s="236">
        <v>12346.283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4" thickBot="1">
      <c r="A188" s="253"/>
      <c r="B188" s="256">
        <v>103398.1</v>
      </c>
      <c r="C188" s="248">
        <v>40107.78</v>
      </c>
      <c r="D188" s="248">
        <v>1196.983</v>
      </c>
      <c r="E188" s="248">
        <v>26839.314000000002</v>
      </c>
      <c r="F188" s="248">
        <v>35254.023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253"/>
      <c r="B189" s="254">
        <v>0</v>
      </c>
      <c r="C189" s="254">
        <v>0</v>
      </c>
      <c r="D189" s="254">
        <v>0</v>
      </c>
      <c r="E189" s="254">
        <v>0</v>
      </c>
      <c r="F189" s="254">
        <v>0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4" thickBot="1">
      <c r="A190" s="253"/>
      <c r="B190" s="254"/>
      <c r="C190" s="254"/>
      <c r="D190" s="254"/>
      <c r="E190" s="254"/>
      <c r="F190" s="2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4" thickBot="1">
      <c r="A191" s="255" t="s">
        <v>67</v>
      </c>
      <c r="B191" s="248">
        <v>103398.1</v>
      </c>
      <c r="C191" s="250">
        <v>40107.78</v>
      </c>
      <c r="D191" s="250">
        <v>1196.983</v>
      </c>
      <c r="E191" s="250">
        <v>26839.314000000002</v>
      </c>
      <c r="F191" s="250">
        <v>35254.023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267"/>
      <c r="B192" s="267"/>
      <c r="C192" s="267"/>
      <c r="D192" s="267"/>
      <c r="E192" s="267"/>
      <c r="F192" s="267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267"/>
      <c r="B193" s="267"/>
      <c r="C193" s="267"/>
      <c r="D193" s="267"/>
      <c r="E193" s="267"/>
      <c r="F193" s="267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267"/>
      <c r="B194" s="267"/>
      <c r="C194" s="267"/>
      <c r="D194" s="267"/>
      <c r="E194" s="267"/>
      <c r="F194" s="267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267"/>
      <c r="B195" s="267"/>
      <c r="C195" s="267"/>
      <c r="D195" s="267"/>
      <c r="E195" s="267"/>
      <c r="F195" s="267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267"/>
      <c r="B196" s="267"/>
      <c r="C196" s="267"/>
      <c r="D196" s="267"/>
      <c r="E196" s="267"/>
      <c r="F196" s="267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267"/>
      <c r="B197" s="267"/>
      <c r="C197" s="267"/>
      <c r="D197" s="267"/>
      <c r="E197" s="267"/>
      <c r="F197" s="267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267"/>
      <c r="B198" s="267"/>
      <c r="C198" s="267"/>
      <c r="D198" s="267"/>
      <c r="E198" s="267"/>
      <c r="F198" s="267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267"/>
      <c r="B199" s="267"/>
      <c r="C199" s="267"/>
      <c r="D199" s="267"/>
      <c r="E199" s="267"/>
      <c r="F199" s="267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267"/>
      <c r="B200" s="267"/>
      <c r="C200" s="267"/>
      <c r="D200" s="267"/>
      <c r="E200" s="267"/>
      <c r="F200" s="267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267"/>
      <c r="B201" s="267"/>
      <c r="C201" s="267"/>
      <c r="D201" s="267"/>
      <c r="E201" s="267"/>
      <c r="F201" s="267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267"/>
      <c r="B202" s="267"/>
      <c r="C202" s="267"/>
      <c r="D202" s="267"/>
      <c r="E202" s="267"/>
      <c r="F202" s="267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267"/>
      <c r="B203" s="267"/>
      <c r="C203" s="267"/>
      <c r="D203" s="267"/>
      <c r="E203" s="267"/>
      <c r="F203" s="267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267"/>
      <c r="B204" s="267"/>
      <c r="C204" s="267"/>
      <c r="D204" s="267"/>
      <c r="E204" s="267"/>
      <c r="F204" s="267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267"/>
      <c r="B205" s="267"/>
      <c r="C205" s="267"/>
      <c r="D205" s="267"/>
      <c r="E205" s="267"/>
      <c r="F205" s="267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267"/>
      <c r="B206" s="267"/>
      <c r="C206" s="267"/>
      <c r="D206" s="267"/>
      <c r="E206" s="267"/>
      <c r="F206" s="267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267"/>
      <c r="B207" s="267"/>
      <c r="C207" s="267"/>
      <c r="D207" s="267"/>
      <c r="E207" s="267"/>
      <c r="F207" s="267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267"/>
      <c r="B208" s="267"/>
      <c r="C208" s="267"/>
      <c r="D208" s="267"/>
      <c r="E208" s="267"/>
      <c r="F208" s="267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267"/>
      <c r="B209" s="267"/>
      <c r="C209" s="267"/>
      <c r="D209" s="267"/>
      <c r="E209" s="267"/>
      <c r="F209" s="267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267"/>
      <c r="B210" s="267"/>
      <c r="C210" s="267"/>
      <c r="D210" s="267"/>
      <c r="E210" s="267"/>
      <c r="F210" s="267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267"/>
      <c r="B211" s="267"/>
      <c r="C211" s="267"/>
      <c r="D211" s="267"/>
      <c r="E211" s="267"/>
      <c r="F211" s="267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1"/>
  <sheetViews>
    <sheetView zoomScale="60" zoomScaleNormal="60" workbookViewId="0" topLeftCell="A1">
      <pane xSplit="1" ySplit="3" topLeftCell="B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83" sqref="K183"/>
    </sheetView>
  </sheetViews>
  <sheetFormatPr defaultColWidth="9.00390625" defaultRowHeight="12.75"/>
  <cols>
    <col min="1" max="1" width="67.875" style="172" customWidth="1"/>
    <col min="2" max="6" width="25.25390625" style="172" customWidth="1"/>
    <col min="7" max="7" width="20.875" style="56" customWidth="1"/>
    <col min="8" max="18" width="20.875" style="53" customWidth="1"/>
  </cols>
  <sheetData>
    <row r="1" spans="1:34" s="21" customFormat="1" ht="61.5" customHeight="1">
      <c r="A1" s="274" t="s">
        <v>63</v>
      </c>
      <c r="B1" s="274"/>
      <c r="C1" s="274"/>
      <c r="D1" s="274"/>
      <c r="E1" s="274"/>
      <c r="F1" s="274"/>
      <c r="G1" s="116"/>
      <c r="H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8" s="21" customFormat="1" ht="23.25">
      <c r="A2" s="279" t="s">
        <v>91</v>
      </c>
      <c r="B2" s="280"/>
      <c r="C2" s="280"/>
      <c r="D2" s="280"/>
      <c r="E2" s="280"/>
      <c r="F2" s="280"/>
      <c r="G2" s="63"/>
      <c r="H2" s="63"/>
    </row>
    <row r="3" spans="7:8" ht="24" thickBot="1">
      <c r="G3" s="63"/>
      <c r="H3" s="63"/>
    </row>
    <row r="4" spans="1:18" s="3" customFormat="1" ht="24.75" customHeight="1" thickBot="1">
      <c r="A4" s="219" t="s">
        <v>90</v>
      </c>
      <c r="B4" s="220"/>
      <c r="C4" s="221" t="s">
        <v>0</v>
      </c>
      <c r="D4" s="221" t="s">
        <v>1</v>
      </c>
      <c r="E4" s="221" t="s">
        <v>2</v>
      </c>
      <c r="F4" s="222" t="s">
        <v>3</v>
      </c>
      <c r="G4" s="171"/>
      <c r="H4" s="54"/>
      <c r="K4" s="54"/>
      <c r="L4" s="54"/>
      <c r="M4" s="54"/>
      <c r="N4" s="54"/>
      <c r="O4" s="54"/>
      <c r="P4" s="54"/>
      <c r="Q4" s="54"/>
      <c r="R4" s="54"/>
    </row>
    <row r="5" spans="1:18" s="3" customFormat="1" ht="32.25" customHeight="1">
      <c r="A5" s="223" t="s">
        <v>20</v>
      </c>
      <c r="B5" s="217">
        <f aca="true" t="shared" si="0" ref="B5:B86">C5+D5+E5+F5</f>
        <v>66958.644</v>
      </c>
      <c r="C5" s="217">
        <f>C7+C9+C10+C12</f>
        <v>25077.829</v>
      </c>
      <c r="D5" s="217">
        <f>D7+D9+D10+D12</f>
        <v>944.8340000000001</v>
      </c>
      <c r="E5" s="217">
        <f>E7+E9+E10+E12</f>
        <v>18432.438000000002</v>
      </c>
      <c r="F5" s="218">
        <f>F7+F9+F10+F12</f>
        <v>22503.542999999998</v>
      </c>
      <c r="G5" s="171"/>
      <c r="H5" s="54"/>
      <c r="K5" s="54"/>
      <c r="L5" s="54"/>
      <c r="M5" s="54"/>
      <c r="N5" s="54"/>
      <c r="O5" s="54"/>
      <c r="P5" s="54"/>
      <c r="Q5" s="54"/>
      <c r="R5" s="54"/>
    </row>
    <row r="6" spans="1:18" s="3" customFormat="1" ht="32.25" customHeight="1">
      <c r="A6" s="195" t="s">
        <v>27</v>
      </c>
      <c r="B6" s="196">
        <f t="shared" si="0"/>
        <v>29.472</v>
      </c>
      <c r="C6" s="196">
        <f>C8+C11</f>
        <v>20.897000000000002</v>
      </c>
      <c r="D6" s="196">
        <f>D8+D11</f>
        <v>0.554</v>
      </c>
      <c r="E6" s="196">
        <f>E8+E11</f>
        <v>7.963</v>
      </c>
      <c r="F6" s="197">
        <f>F8+F11</f>
        <v>0.058</v>
      </c>
      <c r="G6" s="18"/>
      <c r="H6" s="54"/>
      <c r="K6" s="54"/>
      <c r="L6" s="54"/>
      <c r="M6" s="54"/>
      <c r="N6" s="54"/>
      <c r="O6" s="54"/>
      <c r="P6" s="54"/>
      <c r="Q6" s="54"/>
      <c r="R6" s="54"/>
    </row>
    <row r="7" spans="1:18" s="30" customFormat="1" ht="32.25" customHeight="1">
      <c r="A7" s="195" t="s">
        <v>22</v>
      </c>
      <c r="B7" s="196">
        <f t="shared" si="0"/>
        <v>1205.438</v>
      </c>
      <c r="C7" s="196">
        <v>1205.438</v>
      </c>
      <c r="D7" s="196"/>
      <c r="E7" s="196"/>
      <c r="F7" s="197"/>
      <c r="G7" s="71"/>
      <c r="H7" s="55"/>
      <c r="K7" s="55"/>
      <c r="L7" s="55"/>
      <c r="M7" s="55"/>
      <c r="N7" s="55"/>
      <c r="O7" s="55"/>
      <c r="P7" s="55"/>
      <c r="Q7" s="55"/>
      <c r="R7" s="55"/>
    </row>
    <row r="8" spans="1:18" s="30" customFormat="1" ht="32.25" customHeight="1">
      <c r="A8" s="195" t="s">
        <v>23</v>
      </c>
      <c r="B8" s="196">
        <f t="shared" si="0"/>
        <v>4.341</v>
      </c>
      <c r="C8" s="196">
        <v>4.341</v>
      </c>
      <c r="D8" s="196"/>
      <c r="E8" s="196"/>
      <c r="F8" s="197"/>
      <c r="G8" s="71"/>
      <c r="H8" s="55"/>
      <c r="K8" s="55"/>
      <c r="L8" s="55"/>
      <c r="M8" s="55"/>
      <c r="N8" s="55"/>
      <c r="O8" s="55"/>
      <c r="P8" s="55"/>
      <c r="Q8" s="55"/>
      <c r="R8" s="55"/>
    </row>
    <row r="9" spans="1:18" s="3" customFormat="1" ht="32.25" customHeight="1">
      <c r="A9" s="198" t="s">
        <v>24</v>
      </c>
      <c r="B9" s="196">
        <f t="shared" si="0"/>
        <v>38221.442</v>
      </c>
      <c r="C9" s="196">
        <v>16214.778</v>
      </c>
      <c r="D9" s="196">
        <v>781.172</v>
      </c>
      <c r="E9" s="196">
        <v>14002.954</v>
      </c>
      <c r="F9" s="197">
        <f>7241.126-18.588</f>
        <v>7222.5380000000005</v>
      </c>
      <c r="G9" s="171"/>
      <c r="H9" s="54"/>
      <c r="K9" s="54"/>
      <c r="L9" s="54"/>
      <c r="M9" s="54"/>
      <c r="N9" s="54"/>
      <c r="O9" s="54"/>
      <c r="P9" s="54"/>
      <c r="Q9" s="54"/>
      <c r="R9" s="54"/>
    </row>
    <row r="10" spans="1:18" s="3" customFormat="1" ht="32.25" customHeight="1">
      <c r="A10" s="198" t="s">
        <v>25</v>
      </c>
      <c r="B10" s="225">
        <f t="shared" si="0"/>
        <v>11451.3</v>
      </c>
      <c r="C10" s="225">
        <v>7623.219</v>
      </c>
      <c r="D10" s="225">
        <v>162.122</v>
      </c>
      <c r="E10" s="225">
        <v>3632.802</v>
      </c>
      <c r="F10" s="226">
        <v>33.157</v>
      </c>
      <c r="G10" s="20"/>
      <c r="H10" s="54"/>
      <c r="K10" s="54"/>
      <c r="L10" s="54"/>
      <c r="M10" s="54"/>
      <c r="N10" s="54"/>
      <c r="O10" s="54"/>
      <c r="P10" s="54"/>
      <c r="Q10" s="54"/>
      <c r="R10" s="54"/>
    </row>
    <row r="11" spans="1:18" s="3" customFormat="1" ht="32.25" customHeight="1">
      <c r="A11" s="198" t="s">
        <v>26</v>
      </c>
      <c r="B11" s="225">
        <f t="shared" si="0"/>
        <v>25.131</v>
      </c>
      <c r="C11" s="225">
        <v>16.556</v>
      </c>
      <c r="D11" s="225">
        <v>0.554</v>
      </c>
      <c r="E11" s="225">
        <v>7.963</v>
      </c>
      <c r="F11" s="226">
        <v>0.058</v>
      </c>
      <c r="G11" s="20"/>
      <c r="H11" s="54"/>
      <c r="K11" s="54"/>
      <c r="L11" s="54"/>
      <c r="M11" s="54"/>
      <c r="N11" s="54"/>
      <c r="O11" s="54"/>
      <c r="P11" s="54"/>
      <c r="Q11" s="54"/>
      <c r="R11" s="54"/>
    </row>
    <row r="12" spans="1:18" s="3" customFormat="1" ht="32.25" customHeight="1">
      <c r="A12" s="199" t="s">
        <v>7</v>
      </c>
      <c r="B12" s="196">
        <f t="shared" si="0"/>
        <v>16080.463999999998</v>
      </c>
      <c r="C12" s="196">
        <f>C13+C14+C15</f>
        <v>34.394000000000005</v>
      </c>
      <c r="D12" s="196">
        <f>D13+D14+D15</f>
        <v>1.54</v>
      </c>
      <c r="E12" s="196">
        <f>E13+E14+E15</f>
        <v>796.682</v>
      </c>
      <c r="F12" s="197">
        <f>F13+F14+F15</f>
        <v>15247.847999999998</v>
      </c>
      <c r="G12" s="20"/>
      <c r="H12" s="54"/>
      <c r="K12" s="54"/>
      <c r="L12" s="54"/>
      <c r="M12" s="54"/>
      <c r="N12" s="54"/>
      <c r="O12" s="54"/>
      <c r="P12" s="54"/>
      <c r="Q12" s="54"/>
      <c r="R12" s="54"/>
    </row>
    <row r="13" spans="1:18" s="3" customFormat="1" ht="32.25" customHeight="1">
      <c r="A13" s="199" t="s">
        <v>8</v>
      </c>
      <c r="B13" s="196">
        <f t="shared" si="0"/>
        <v>4844.41</v>
      </c>
      <c r="C13" s="200">
        <v>17.204</v>
      </c>
      <c r="D13" s="200">
        <v>0</v>
      </c>
      <c r="E13" s="200">
        <v>332.614</v>
      </c>
      <c r="F13" s="201">
        <f>4502.54-7.948</f>
        <v>4494.592</v>
      </c>
      <c r="G13" s="58"/>
      <c r="H13" s="54"/>
      <c r="K13" s="54"/>
      <c r="L13" s="54"/>
      <c r="M13" s="54"/>
      <c r="N13" s="54"/>
      <c r="O13" s="54"/>
      <c r="P13" s="54"/>
      <c r="Q13" s="54"/>
      <c r="R13" s="54"/>
    </row>
    <row r="14" spans="1:18" s="3" customFormat="1" ht="32.25" customHeight="1">
      <c r="A14" s="199" t="s">
        <v>39</v>
      </c>
      <c r="B14" s="196">
        <f t="shared" si="0"/>
        <v>0</v>
      </c>
      <c r="C14" s="200">
        <v>0</v>
      </c>
      <c r="D14" s="200">
        <v>0</v>
      </c>
      <c r="E14" s="200">
        <v>0</v>
      </c>
      <c r="F14" s="201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30" customFormat="1" ht="32.25" customHeight="1">
      <c r="A15" s="199" t="s">
        <v>9</v>
      </c>
      <c r="B15" s="196">
        <f t="shared" si="0"/>
        <v>11236.054</v>
      </c>
      <c r="C15" s="200">
        <v>17.19</v>
      </c>
      <c r="D15" s="200">
        <v>1.54</v>
      </c>
      <c r="E15" s="200">
        <v>464.068</v>
      </c>
      <c r="F15" s="201">
        <f>11683.256-930</f>
        <v>10753.256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3" customFormat="1" ht="32.25" customHeight="1">
      <c r="A16" s="195" t="s">
        <v>43</v>
      </c>
      <c r="B16" s="196">
        <f t="shared" si="0"/>
        <v>2178.962</v>
      </c>
      <c r="C16" s="196">
        <f>C17+C19</f>
        <v>2178.962</v>
      </c>
      <c r="D16" s="196">
        <f>D17+D19</f>
        <v>0</v>
      </c>
      <c r="E16" s="196">
        <f>E17+E19</f>
        <v>0</v>
      </c>
      <c r="F16" s="197">
        <f>F17+F19</f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3" customFormat="1" ht="32.25" customHeight="1">
      <c r="A17" s="199" t="s">
        <v>10</v>
      </c>
      <c r="B17" s="202">
        <f t="shared" si="0"/>
        <v>2178.962</v>
      </c>
      <c r="C17" s="202">
        <v>2178.962</v>
      </c>
      <c r="D17" s="200"/>
      <c r="E17" s="200"/>
      <c r="F17" s="201"/>
      <c r="G17" s="87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3" customFormat="1" ht="32.25" customHeight="1">
      <c r="A18" s="198" t="s">
        <v>44</v>
      </c>
      <c r="B18" s="203">
        <f t="shared" si="0"/>
        <v>4.916</v>
      </c>
      <c r="C18" s="202">
        <v>4.916</v>
      </c>
      <c r="D18" s="204"/>
      <c r="E18" s="204"/>
      <c r="F18" s="205"/>
      <c r="G18" s="60"/>
      <c r="H18" s="60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s="3" customFormat="1" ht="32.25" customHeight="1">
      <c r="A19" s="199" t="s">
        <v>7</v>
      </c>
      <c r="B19" s="196">
        <f t="shared" si="0"/>
        <v>0</v>
      </c>
      <c r="C19" s="196">
        <f>C20+C21+C22</f>
        <v>0</v>
      </c>
      <c r="D19" s="196">
        <f>D20+D21+D22</f>
        <v>0</v>
      </c>
      <c r="E19" s="196">
        <f>E20+E21+E22</f>
        <v>0</v>
      </c>
      <c r="F19" s="197">
        <f>F20+F21+F22</f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2.25" customHeight="1">
      <c r="A20" s="199" t="s">
        <v>8</v>
      </c>
      <c r="B20" s="196">
        <f t="shared" si="0"/>
        <v>0</v>
      </c>
      <c r="C20" s="206"/>
      <c r="D20" s="206"/>
      <c r="E20" s="206"/>
      <c r="F20" s="207"/>
      <c r="G20" s="88"/>
      <c r="H20" s="75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s="3" customFormat="1" ht="32.25" customHeight="1">
      <c r="A21" s="199" t="s">
        <v>39</v>
      </c>
      <c r="B21" s="196">
        <f>C21+D21+E21+F21</f>
        <v>0</v>
      </c>
      <c r="C21" s="200">
        <v>0</v>
      </c>
      <c r="D21" s="200"/>
      <c r="E21" s="200"/>
      <c r="F21" s="201"/>
      <c r="G21" s="75"/>
      <c r="H21" s="75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s="3" customFormat="1" ht="32.25" customHeight="1">
      <c r="A22" s="199" t="s">
        <v>9</v>
      </c>
      <c r="B22" s="196">
        <f t="shared" si="0"/>
        <v>0</v>
      </c>
      <c r="C22" s="200"/>
      <c r="D22" s="200"/>
      <c r="E22" s="200"/>
      <c r="F22" s="201"/>
      <c r="G22" s="69"/>
      <c r="H22" s="69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s="3" customFormat="1" ht="32.25" customHeight="1">
      <c r="A23" s="195" t="s">
        <v>19</v>
      </c>
      <c r="B23" s="196">
        <f t="shared" si="0"/>
        <v>5027.982</v>
      </c>
      <c r="C23" s="196">
        <f>C24+C27+C25</f>
        <v>547.091</v>
      </c>
      <c r="D23" s="196">
        <f>D24+D27+D25</f>
        <v>0</v>
      </c>
      <c r="E23" s="196">
        <f>E24+E27+E25</f>
        <v>1830.1580000000001</v>
      </c>
      <c r="F23" s="197">
        <f>F24+F27+F25</f>
        <v>2650.733</v>
      </c>
      <c r="G23" s="69"/>
      <c r="H23" s="69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3" customFormat="1" ht="32.25" customHeight="1">
      <c r="A24" s="199" t="s">
        <v>10</v>
      </c>
      <c r="B24" s="196">
        <f t="shared" si="0"/>
        <v>2952.4089999999997</v>
      </c>
      <c r="C24" s="196">
        <v>468.773</v>
      </c>
      <c r="D24" s="196">
        <v>0</v>
      </c>
      <c r="E24" s="196">
        <f>1558.73-E25</f>
        <v>1537.347</v>
      </c>
      <c r="F24" s="197">
        <f>946.289-F25</f>
        <v>946.289</v>
      </c>
      <c r="G24" s="60"/>
      <c r="H24" s="60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s="3" customFormat="1" ht="32.25" customHeight="1">
      <c r="A25" s="198" t="s">
        <v>75</v>
      </c>
      <c r="B25" s="196">
        <f t="shared" si="0"/>
        <v>21.383</v>
      </c>
      <c r="C25" s="196"/>
      <c r="D25" s="196"/>
      <c r="E25" s="271">
        <v>21.383</v>
      </c>
      <c r="F25" s="270"/>
      <c r="G25" s="69"/>
      <c r="H25" s="69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s="3" customFormat="1" ht="32.25" customHeight="1">
      <c r="A26" s="198" t="s">
        <v>26</v>
      </c>
      <c r="B26" s="196">
        <f t="shared" si="0"/>
        <v>0.031</v>
      </c>
      <c r="C26" s="196"/>
      <c r="D26" s="196"/>
      <c r="E26" s="271">
        <v>0.031</v>
      </c>
      <c r="F26" s="270"/>
      <c r="G26" s="64"/>
      <c r="H26" s="6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s="3" customFormat="1" ht="32.25" customHeight="1">
      <c r="A27" s="199" t="s">
        <v>7</v>
      </c>
      <c r="B27" s="196">
        <f t="shared" si="0"/>
        <v>2054.19</v>
      </c>
      <c r="C27" s="196">
        <f>C28+C30</f>
        <v>78.318</v>
      </c>
      <c r="D27" s="196"/>
      <c r="E27" s="196">
        <f>E28+E30</f>
        <v>271.428</v>
      </c>
      <c r="F27" s="197">
        <f>F28+F30</f>
        <v>1704.444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s="3" customFormat="1" ht="32.25" customHeight="1">
      <c r="A28" s="199" t="s">
        <v>8</v>
      </c>
      <c r="B28" s="196">
        <f t="shared" si="0"/>
        <v>1522.116</v>
      </c>
      <c r="C28" s="200">
        <v>78.318</v>
      </c>
      <c r="D28" s="200">
        <v>0</v>
      </c>
      <c r="E28" s="200">
        <v>271.428</v>
      </c>
      <c r="F28" s="201">
        <v>1172.37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3" customFormat="1" ht="32.25" customHeight="1">
      <c r="A29" s="199" t="s">
        <v>39</v>
      </c>
      <c r="B29" s="196">
        <f t="shared" si="0"/>
        <v>0</v>
      </c>
      <c r="C29" s="200">
        <v>0</v>
      </c>
      <c r="D29" s="200">
        <v>0</v>
      </c>
      <c r="E29" s="200">
        <v>0</v>
      </c>
      <c r="F29" s="201">
        <v>0</v>
      </c>
      <c r="G29" s="58"/>
      <c r="H29" s="58"/>
      <c r="I29" s="58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3" customFormat="1" ht="32.25" customHeight="1">
      <c r="A30" s="199" t="s">
        <v>9</v>
      </c>
      <c r="B30" s="196">
        <f t="shared" si="0"/>
        <v>532.074</v>
      </c>
      <c r="C30" s="200">
        <v>0</v>
      </c>
      <c r="D30" s="200">
        <v>0</v>
      </c>
      <c r="E30" s="200">
        <v>0</v>
      </c>
      <c r="F30" s="201">
        <v>532.074</v>
      </c>
      <c r="G30" s="60"/>
      <c r="H30" s="60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s="3" customFormat="1" ht="32.25" customHeight="1">
      <c r="A31" s="195" t="s">
        <v>55</v>
      </c>
      <c r="B31" s="196">
        <f t="shared" si="0"/>
        <v>1395.236</v>
      </c>
      <c r="C31" s="196">
        <f>C32+C33+C35</f>
        <v>1395.236</v>
      </c>
      <c r="D31" s="196"/>
      <c r="E31" s="196"/>
      <c r="F31" s="197"/>
      <c r="G31" s="58"/>
      <c r="H31" s="58"/>
      <c r="I31" s="58"/>
      <c r="J31" s="54"/>
      <c r="K31" s="54"/>
      <c r="L31" s="54"/>
      <c r="M31" s="54"/>
      <c r="N31" s="54"/>
      <c r="O31" s="54"/>
      <c r="P31" s="54"/>
      <c r="Q31" s="54"/>
      <c r="R31" s="54"/>
    </row>
    <row r="32" spans="1:18" s="3" customFormat="1" ht="32.25" customHeight="1">
      <c r="A32" s="199" t="s">
        <v>10</v>
      </c>
      <c r="B32" s="196">
        <f t="shared" si="0"/>
        <v>1385.622</v>
      </c>
      <c r="C32" s="196">
        <f>1393.948-C33</f>
        <v>1385.622</v>
      </c>
      <c r="D32" s="196"/>
      <c r="E32" s="196"/>
      <c r="F32" s="197"/>
      <c r="G32" s="64"/>
      <c r="H32" s="58"/>
      <c r="I32" s="58"/>
      <c r="J32" s="54"/>
      <c r="K32" s="54"/>
      <c r="L32" s="54"/>
      <c r="M32" s="54"/>
      <c r="N32" s="54"/>
      <c r="O32" s="54"/>
      <c r="P32" s="54"/>
      <c r="Q32" s="54"/>
      <c r="R32" s="54"/>
    </row>
    <row r="33" spans="1:18" s="3" customFormat="1" ht="32.25" customHeight="1">
      <c r="A33" s="198" t="s">
        <v>94</v>
      </c>
      <c r="B33" s="196">
        <f t="shared" si="0"/>
        <v>8.326</v>
      </c>
      <c r="C33" s="196">
        <v>8.326</v>
      </c>
      <c r="D33" s="196"/>
      <c r="E33" s="200"/>
      <c r="F33" s="201"/>
      <c r="G33" s="64"/>
      <c r="H33" s="58"/>
      <c r="I33" s="58"/>
      <c r="J33" s="54"/>
      <c r="K33" s="54"/>
      <c r="L33" s="54"/>
      <c r="M33" s="54"/>
      <c r="N33" s="54"/>
      <c r="O33" s="54"/>
      <c r="P33" s="54"/>
      <c r="Q33" s="54"/>
      <c r="R33" s="54"/>
    </row>
    <row r="34" spans="1:18" s="3" customFormat="1" ht="32.25" customHeight="1">
      <c r="A34" s="198" t="s">
        <v>26</v>
      </c>
      <c r="B34" s="196">
        <f t="shared" si="0"/>
        <v>0.016</v>
      </c>
      <c r="C34" s="196">
        <v>0.016</v>
      </c>
      <c r="D34" s="196"/>
      <c r="E34" s="200"/>
      <c r="F34" s="201"/>
      <c r="G34" s="69"/>
      <c r="H34" s="58"/>
      <c r="I34" s="58"/>
      <c r="J34" s="54"/>
      <c r="K34" s="54"/>
      <c r="L34" s="54"/>
      <c r="M34" s="54"/>
      <c r="N34" s="54"/>
      <c r="O34" s="54"/>
      <c r="P34" s="54"/>
      <c r="Q34" s="54"/>
      <c r="R34" s="54"/>
    </row>
    <row r="35" spans="1:18" s="3" customFormat="1" ht="32.25" customHeight="1">
      <c r="A35" s="199" t="s">
        <v>7</v>
      </c>
      <c r="B35" s="196">
        <f t="shared" si="0"/>
        <v>1.288</v>
      </c>
      <c r="C35" s="196">
        <f>C36+C37+C38</f>
        <v>1.288</v>
      </c>
      <c r="D35" s="196">
        <f>D36+D37+D38</f>
        <v>0</v>
      </c>
      <c r="E35" s="196">
        <f>E36+E37+E38</f>
        <v>0</v>
      </c>
      <c r="F35" s="197">
        <f>F36+F37+F38</f>
        <v>0</v>
      </c>
      <c r="G35" s="69"/>
      <c r="H35" s="58"/>
      <c r="I35" s="58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3" customFormat="1" ht="32.25" customHeight="1">
      <c r="A36" s="199" t="s">
        <v>8</v>
      </c>
      <c r="B36" s="196">
        <f t="shared" si="0"/>
        <v>1.288</v>
      </c>
      <c r="C36" s="200">
        <v>1.288</v>
      </c>
      <c r="D36" s="200"/>
      <c r="E36" s="200"/>
      <c r="F36" s="201"/>
      <c r="G36" s="60"/>
      <c r="H36" s="60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3" customFormat="1" ht="32.25" customHeight="1">
      <c r="A37" s="199" t="s">
        <v>39</v>
      </c>
      <c r="B37" s="196">
        <f>C37+D37+E37+F37</f>
        <v>0</v>
      </c>
      <c r="C37" s="200">
        <v>0</v>
      </c>
      <c r="D37" s="200"/>
      <c r="E37" s="200"/>
      <c r="F37" s="201"/>
      <c r="G37" s="69"/>
      <c r="H37" s="58"/>
      <c r="I37" s="58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3" customFormat="1" ht="32.25" customHeight="1">
      <c r="A38" s="199" t="s">
        <v>9</v>
      </c>
      <c r="B38" s="196">
        <f t="shared" si="0"/>
        <v>0</v>
      </c>
      <c r="C38" s="200"/>
      <c r="D38" s="200"/>
      <c r="E38" s="200"/>
      <c r="F38" s="201"/>
      <c r="G38" s="64"/>
      <c r="H38" s="58"/>
      <c r="I38" s="58"/>
      <c r="J38" s="54"/>
      <c r="K38" s="54"/>
      <c r="L38" s="54"/>
      <c r="M38" s="54"/>
      <c r="N38" s="54"/>
      <c r="O38" s="54"/>
      <c r="P38" s="54"/>
      <c r="Q38" s="54"/>
      <c r="R38" s="54"/>
    </row>
    <row r="39" spans="1:18" s="3" customFormat="1" ht="32.25" customHeight="1">
      <c r="A39" s="195" t="s">
        <v>61</v>
      </c>
      <c r="B39" s="196">
        <f t="shared" si="0"/>
        <v>71.158</v>
      </c>
      <c r="C39" s="196">
        <f>C40+C41+C43</f>
        <v>0</v>
      </c>
      <c r="D39" s="196">
        <f>D40+D41+D43</f>
        <v>14.789</v>
      </c>
      <c r="E39" s="196">
        <f>E40+E41+E43</f>
        <v>24.662</v>
      </c>
      <c r="F39" s="197">
        <f>F40+F41+F43</f>
        <v>31.706999999999997</v>
      </c>
      <c r="G39" s="58"/>
      <c r="H39" s="58"/>
      <c r="I39" s="58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30" customFormat="1" ht="32.25" customHeight="1">
      <c r="A40" s="199" t="s">
        <v>10</v>
      </c>
      <c r="B40" s="196">
        <f t="shared" si="0"/>
        <v>55.095</v>
      </c>
      <c r="C40" s="196"/>
      <c r="D40" s="196">
        <v>14.789</v>
      </c>
      <c r="E40" s="196">
        <v>8.662</v>
      </c>
      <c r="F40" s="197">
        <v>31.644</v>
      </c>
      <c r="G40" s="90"/>
      <c r="H40" s="90"/>
      <c r="I40" s="90"/>
      <c r="J40" s="55"/>
      <c r="K40" s="55"/>
      <c r="L40" s="55"/>
      <c r="M40" s="55"/>
      <c r="N40" s="55"/>
      <c r="O40" s="55"/>
      <c r="P40" s="55"/>
      <c r="Q40" s="55"/>
      <c r="R40" s="55"/>
    </row>
    <row r="41" spans="1:18" s="30" customFormat="1" ht="32.25" customHeight="1">
      <c r="A41" s="198" t="s">
        <v>77</v>
      </c>
      <c r="B41" s="196">
        <f>C41+D41+E41+F41</f>
        <v>0</v>
      </c>
      <c r="C41" s="196"/>
      <c r="D41" s="196"/>
      <c r="E41" s="200"/>
      <c r="F41" s="197">
        <v>0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s="3" customFormat="1" ht="32.25" customHeight="1">
      <c r="A42" s="198" t="s">
        <v>26</v>
      </c>
      <c r="B42" s="196">
        <f>C42+D42+E42+F42</f>
        <v>0.001</v>
      </c>
      <c r="C42" s="196"/>
      <c r="D42" s="196"/>
      <c r="E42" s="200"/>
      <c r="F42" s="197">
        <v>0.001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1:18" s="3" customFormat="1" ht="32.25" customHeight="1">
      <c r="A43" s="199" t="s">
        <v>7</v>
      </c>
      <c r="B43" s="196">
        <f>C43+D43+E43+F43</f>
        <v>16.063</v>
      </c>
      <c r="C43" s="196">
        <f>C44+C45+C46</f>
        <v>0</v>
      </c>
      <c r="D43" s="196">
        <f>D44+D45+D46</f>
        <v>0</v>
      </c>
      <c r="E43" s="196">
        <f>E44+E45+E46</f>
        <v>16</v>
      </c>
      <c r="F43" s="197">
        <f>F44+F45+F46</f>
        <v>0.063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18" s="3" customFormat="1" ht="32.25" customHeight="1">
      <c r="A44" s="199" t="s">
        <v>8</v>
      </c>
      <c r="B44" s="196">
        <f t="shared" si="0"/>
        <v>16.063</v>
      </c>
      <c r="C44" s="196"/>
      <c r="D44" s="196"/>
      <c r="E44" s="200">
        <v>16</v>
      </c>
      <c r="F44" s="201">
        <v>0.063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3" customFormat="1" ht="32.25" customHeight="1">
      <c r="A45" s="199" t="s">
        <v>39</v>
      </c>
      <c r="B45" s="196">
        <f>C45+D45+E45+F45</f>
        <v>0</v>
      </c>
      <c r="C45" s="200">
        <v>0</v>
      </c>
      <c r="D45" s="200"/>
      <c r="E45" s="200"/>
      <c r="F45" s="201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18" s="3" customFormat="1" ht="32.25" customHeight="1">
      <c r="A46" s="199" t="s">
        <v>9</v>
      </c>
      <c r="B46" s="196">
        <f>C46+D46+E46+F46</f>
        <v>0</v>
      </c>
      <c r="C46" s="200"/>
      <c r="D46" s="200"/>
      <c r="E46" s="200"/>
      <c r="F46" s="201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18" s="3" customFormat="1" ht="32.25" customHeight="1">
      <c r="A47" s="195" t="s">
        <v>47</v>
      </c>
      <c r="B47" s="196">
        <f t="shared" si="0"/>
        <v>12080.996</v>
      </c>
      <c r="C47" s="196">
        <f>C48+C49+C51</f>
        <v>6944.892</v>
      </c>
      <c r="D47" s="196">
        <f>D48+D49+D51</f>
        <v>0</v>
      </c>
      <c r="E47" s="196">
        <f>E48+E49+E51</f>
        <v>2057.026</v>
      </c>
      <c r="F47" s="197">
        <f>F48+F49+F51</f>
        <v>3079.0779999999995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  <row r="48" spans="1:18" s="3" customFormat="1" ht="32.25" customHeight="1">
      <c r="A48" s="198" t="s">
        <v>21</v>
      </c>
      <c r="B48" s="196">
        <f t="shared" si="0"/>
        <v>3705.0709999999995</v>
      </c>
      <c r="C48" s="196">
        <f>6937.392-C49</f>
        <v>959.8919999999998</v>
      </c>
      <c r="D48" s="196"/>
      <c r="E48" s="196">
        <f>1965.264-E49</f>
        <v>1958.164</v>
      </c>
      <c r="F48" s="197">
        <f>789.539-F49</f>
        <v>787.015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</row>
    <row r="49" spans="1:18" s="3" customFormat="1" ht="32.25" customHeight="1">
      <c r="A49" s="228" t="s">
        <v>78</v>
      </c>
      <c r="B49" s="196">
        <f t="shared" si="0"/>
        <v>5987.124000000001</v>
      </c>
      <c r="C49" s="196">
        <v>5977.5</v>
      </c>
      <c r="D49" s="196"/>
      <c r="E49" s="271">
        <v>7.1</v>
      </c>
      <c r="F49" s="197">
        <v>2.524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18" s="3" customFormat="1" ht="32.25" customHeight="1">
      <c r="A50" s="198" t="s">
        <v>26</v>
      </c>
      <c r="B50" s="209">
        <f t="shared" si="0"/>
        <v>8.478</v>
      </c>
      <c r="C50" s="209">
        <v>8.464</v>
      </c>
      <c r="D50" s="272"/>
      <c r="E50" s="273">
        <v>0.01</v>
      </c>
      <c r="F50" s="210">
        <v>0.004</v>
      </c>
      <c r="G50" s="60"/>
      <c r="H50" s="60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3" customFormat="1" ht="32.25" customHeight="1">
      <c r="A51" s="199" t="s">
        <v>7</v>
      </c>
      <c r="B51" s="196">
        <f t="shared" si="0"/>
        <v>2388.801</v>
      </c>
      <c r="C51" s="196">
        <f>C52+C53+C54</f>
        <v>7.5</v>
      </c>
      <c r="D51" s="196">
        <f>D52+D53+D54</f>
        <v>0</v>
      </c>
      <c r="E51" s="196">
        <f>E52+E53+E54</f>
        <v>91.762</v>
      </c>
      <c r="F51" s="197">
        <f>F52+F53+F54</f>
        <v>2289.5389999999998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18" s="117" customFormat="1" ht="32.25" customHeight="1">
      <c r="A52" s="199" t="s">
        <v>8</v>
      </c>
      <c r="B52" s="196">
        <f t="shared" si="0"/>
        <v>2283.0730000000003</v>
      </c>
      <c r="C52" s="200">
        <v>7.5</v>
      </c>
      <c r="D52" s="200"/>
      <c r="E52" s="200">
        <v>91.762</v>
      </c>
      <c r="F52" s="270">
        <v>2183.811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18" s="117" customFormat="1" ht="32.25" customHeight="1">
      <c r="A53" s="199" t="s">
        <v>39</v>
      </c>
      <c r="B53" s="196">
        <f t="shared" si="0"/>
        <v>73.767</v>
      </c>
      <c r="C53" s="200"/>
      <c r="D53" s="200"/>
      <c r="E53" s="200"/>
      <c r="F53" s="201">
        <v>73.767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  <row r="54" spans="1:18" s="117" customFormat="1" ht="32.25" customHeight="1">
      <c r="A54" s="199" t="s">
        <v>9</v>
      </c>
      <c r="B54" s="196">
        <f t="shared" si="0"/>
        <v>31.961</v>
      </c>
      <c r="C54" s="200"/>
      <c r="D54" s="200"/>
      <c r="E54" s="200"/>
      <c r="F54" s="201">
        <v>31.961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spans="1:18" s="117" customFormat="1" ht="32.25" customHeight="1">
      <c r="A55" s="195" t="s">
        <v>60</v>
      </c>
      <c r="B55" s="196">
        <f t="shared" si="0"/>
        <v>75.438</v>
      </c>
      <c r="C55" s="196"/>
      <c r="D55" s="196"/>
      <c r="E55" s="196">
        <f>E56+E57</f>
        <v>30.472</v>
      </c>
      <c r="F55" s="197">
        <f>F56+F57</f>
        <v>44.966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1:18" s="3" customFormat="1" ht="32.25" customHeight="1">
      <c r="A56" s="199" t="s">
        <v>10</v>
      </c>
      <c r="B56" s="196">
        <f t="shared" si="0"/>
        <v>51.371</v>
      </c>
      <c r="C56" s="196"/>
      <c r="D56" s="196"/>
      <c r="E56" s="196">
        <v>30.472</v>
      </c>
      <c r="F56" s="197">
        <v>20.899</v>
      </c>
      <c r="G56" s="60"/>
      <c r="H56" s="60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1:18" s="117" customFormat="1" ht="32.25" customHeight="1">
      <c r="A57" s="199" t="s">
        <v>7</v>
      </c>
      <c r="B57" s="196">
        <f t="shared" si="0"/>
        <v>24.067</v>
      </c>
      <c r="C57" s="196">
        <f>C58+C59+C60</f>
        <v>0</v>
      </c>
      <c r="D57" s="196">
        <f>D58+D59+D60</f>
        <v>0</v>
      </c>
      <c r="E57" s="196">
        <f>E58+E59+E60</f>
        <v>0</v>
      </c>
      <c r="F57" s="197">
        <f>F58+F59+F60</f>
        <v>24.067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1:18" s="117" customFormat="1" ht="32.25" customHeight="1">
      <c r="A58" s="199" t="s">
        <v>8</v>
      </c>
      <c r="B58" s="196">
        <f t="shared" si="0"/>
        <v>18.646</v>
      </c>
      <c r="C58" s="200"/>
      <c r="D58" s="200"/>
      <c r="E58" s="200"/>
      <c r="F58" s="197">
        <v>18.646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s="117" customFormat="1" ht="32.25" customHeight="1">
      <c r="A59" s="199" t="s">
        <v>39</v>
      </c>
      <c r="B59" s="196">
        <f>C59+D59+E59+F59</f>
        <v>0</v>
      </c>
      <c r="C59" s="200">
        <v>0</v>
      </c>
      <c r="D59" s="200"/>
      <c r="E59" s="200"/>
      <c r="F59" s="197"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1:18" s="117" customFormat="1" ht="32.25" customHeight="1">
      <c r="A60" s="199" t="s">
        <v>9</v>
      </c>
      <c r="B60" s="196">
        <f t="shared" si="0"/>
        <v>5.421</v>
      </c>
      <c r="C60" s="200"/>
      <c r="D60" s="200"/>
      <c r="E60" s="200"/>
      <c r="F60" s="197">
        <v>5.421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1:18" s="117" customFormat="1" ht="32.25" customHeight="1">
      <c r="A61" s="195" t="s">
        <v>59</v>
      </c>
      <c r="B61" s="196">
        <f t="shared" si="0"/>
        <v>0.437</v>
      </c>
      <c r="C61" s="196">
        <f>C62+C63</f>
        <v>0</v>
      </c>
      <c r="D61" s="196"/>
      <c r="E61" s="196">
        <f>E62+E63</f>
        <v>0</v>
      </c>
      <c r="F61" s="197">
        <f>F62+F63</f>
        <v>0.437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1:18" s="3" customFormat="1" ht="32.25" customHeight="1">
      <c r="A62" s="199" t="s">
        <v>10</v>
      </c>
      <c r="B62" s="196">
        <f t="shared" si="0"/>
        <v>0.437</v>
      </c>
      <c r="C62" s="196"/>
      <c r="D62" s="196"/>
      <c r="E62" s="196"/>
      <c r="F62" s="197">
        <v>0.437</v>
      </c>
      <c r="G62" s="60"/>
      <c r="H62" s="60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1:18" s="117" customFormat="1" ht="32.25" customHeight="1">
      <c r="A63" s="199" t="s">
        <v>7</v>
      </c>
      <c r="B63" s="196">
        <f t="shared" si="0"/>
        <v>0</v>
      </c>
      <c r="C63" s="196">
        <f>C64+C65+C66</f>
        <v>0</v>
      </c>
      <c r="D63" s="196">
        <f>D64+D65+D66</f>
        <v>0</v>
      </c>
      <c r="E63" s="196">
        <f>E64+E65+E66</f>
        <v>0</v>
      </c>
      <c r="F63" s="197">
        <f>F64+F65+F66</f>
        <v>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1:18" s="3" customFormat="1" ht="32.25" customHeight="1">
      <c r="A64" s="199" t="s">
        <v>8</v>
      </c>
      <c r="B64" s="196">
        <f t="shared" si="0"/>
        <v>0</v>
      </c>
      <c r="C64" s="196"/>
      <c r="D64" s="196"/>
      <c r="E64" s="196"/>
      <c r="F64" s="201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1:18" s="3" customFormat="1" ht="32.25" customHeight="1">
      <c r="A65" s="199" t="s">
        <v>39</v>
      </c>
      <c r="B65" s="196">
        <f t="shared" si="0"/>
        <v>0</v>
      </c>
      <c r="C65" s="200">
        <v>0</v>
      </c>
      <c r="D65" s="200"/>
      <c r="E65" s="200"/>
      <c r="F65" s="201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1:18" s="3" customFormat="1" ht="32.25" customHeight="1">
      <c r="A66" s="199" t="s">
        <v>9</v>
      </c>
      <c r="B66" s="196">
        <f t="shared" si="0"/>
        <v>0</v>
      </c>
      <c r="C66" s="196"/>
      <c r="D66" s="196"/>
      <c r="E66" s="196"/>
      <c r="F66" s="197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1:18" s="3" customFormat="1" ht="32.25" customHeight="1">
      <c r="A67" s="195" t="s">
        <v>48</v>
      </c>
      <c r="B67" s="196">
        <f t="shared" si="0"/>
        <v>2767.028</v>
      </c>
      <c r="C67" s="196">
        <f>C68+C69+C71</f>
        <v>2528.611</v>
      </c>
      <c r="D67" s="196"/>
      <c r="E67" s="196">
        <f>E68+E71</f>
        <v>238.417</v>
      </c>
      <c r="F67" s="197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s="3" customFormat="1" ht="32.25" customHeight="1">
      <c r="A68" s="199" t="s">
        <v>10</v>
      </c>
      <c r="B68" s="196">
        <f t="shared" si="0"/>
        <v>2598.484</v>
      </c>
      <c r="C68" s="196">
        <f>2528.611-C69</f>
        <v>2360.067</v>
      </c>
      <c r="D68" s="196"/>
      <c r="E68" s="196">
        <v>238.417</v>
      </c>
      <c r="F68" s="197"/>
      <c r="G68" s="60"/>
      <c r="H68" s="60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1:18" s="3" customFormat="1" ht="32.25" customHeight="1">
      <c r="A69" s="228" t="s">
        <v>79</v>
      </c>
      <c r="B69" s="202">
        <f>C69+D69+E69+F69</f>
        <v>168.544</v>
      </c>
      <c r="C69" s="202">
        <v>168.544</v>
      </c>
      <c r="D69" s="230"/>
      <c r="E69" s="230"/>
      <c r="F69" s="197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s="3" customFormat="1" ht="32.25" customHeight="1">
      <c r="A70" s="198" t="s">
        <v>31</v>
      </c>
      <c r="B70" s="203">
        <f>C70+D70+E70+F70</f>
        <v>0.274</v>
      </c>
      <c r="C70" s="202">
        <v>0.274</v>
      </c>
      <c r="D70" s="230"/>
      <c r="E70" s="230"/>
      <c r="F70" s="197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1:18" s="3" customFormat="1" ht="32.25" customHeight="1">
      <c r="A71" s="199" t="s">
        <v>7</v>
      </c>
      <c r="B71" s="196">
        <f t="shared" si="0"/>
        <v>0</v>
      </c>
      <c r="C71" s="196">
        <f>C72+C73+C74</f>
        <v>0</v>
      </c>
      <c r="D71" s="196">
        <f>D72+D73+D74</f>
        <v>0</v>
      </c>
      <c r="E71" s="196">
        <f>E72+E73+E74</f>
        <v>0</v>
      </c>
      <c r="F71" s="197">
        <f>F72+F73+F74</f>
        <v>0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18" s="3" customFormat="1" ht="32.25" customHeight="1">
      <c r="A72" s="199" t="s">
        <v>8</v>
      </c>
      <c r="B72" s="196">
        <f t="shared" si="0"/>
        <v>0</v>
      </c>
      <c r="C72" s="196"/>
      <c r="D72" s="196"/>
      <c r="E72" s="196"/>
      <c r="F72" s="201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1:18" s="3" customFormat="1" ht="32.25" customHeight="1">
      <c r="A73" s="199" t="s">
        <v>39</v>
      </c>
      <c r="B73" s="196">
        <f>C73+D73+E73+F73</f>
        <v>0</v>
      </c>
      <c r="C73" s="200">
        <v>0</v>
      </c>
      <c r="D73" s="200"/>
      <c r="E73" s="200"/>
      <c r="F73" s="201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s="3" customFormat="1" ht="32.25" customHeight="1">
      <c r="A74" s="199" t="s">
        <v>9</v>
      </c>
      <c r="B74" s="196">
        <f t="shared" si="0"/>
        <v>0</v>
      </c>
      <c r="C74" s="196"/>
      <c r="D74" s="196"/>
      <c r="E74" s="196"/>
      <c r="F74" s="201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s="3" customFormat="1" ht="32.25" customHeight="1">
      <c r="A75" s="231" t="s">
        <v>16</v>
      </c>
      <c r="B75" s="196">
        <f t="shared" si="0"/>
        <v>555.859</v>
      </c>
      <c r="C75" s="196">
        <f>C76+C77+C79</f>
        <v>0</v>
      </c>
      <c r="D75" s="196">
        <f>D76+D77+D79</f>
        <v>0</v>
      </c>
      <c r="E75" s="196">
        <f>E76+E77+E79</f>
        <v>422.471</v>
      </c>
      <c r="F75" s="197">
        <f>F76+F77+F79</f>
        <v>133.388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s="3" customFormat="1" ht="32.25" customHeight="1">
      <c r="A76" s="199" t="s">
        <v>10</v>
      </c>
      <c r="B76" s="196">
        <f t="shared" si="0"/>
        <v>496.329</v>
      </c>
      <c r="C76" s="196"/>
      <c r="D76" s="196"/>
      <c r="E76" s="196">
        <f>422.471-E77</f>
        <v>413.149</v>
      </c>
      <c r="F76" s="197">
        <f>133.388-F77</f>
        <v>83.18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s="3" customFormat="1" ht="32.25" customHeight="1">
      <c r="A77" s="198" t="s">
        <v>80</v>
      </c>
      <c r="B77" s="196">
        <f>C77+D77+E77+F77</f>
        <v>59.53</v>
      </c>
      <c r="C77" s="196"/>
      <c r="D77" s="196"/>
      <c r="E77" s="196">
        <v>9.322</v>
      </c>
      <c r="F77" s="197">
        <v>50.208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s="3" customFormat="1" ht="32.25" customHeight="1">
      <c r="A78" s="198" t="s">
        <v>26</v>
      </c>
      <c r="B78" s="196">
        <f>C78+D78+E78+F78</f>
        <v>0.095</v>
      </c>
      <c r="C78" s="196"/>
      <c r="D78" s="196"/>
      <c r="E78" s="196">
        <v>0.017</v>
      </c>
      <c r="F78" s="197">
        <v>0.078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s="3" customFormat="1" ht="32.25" customHeight="1">
      <c r="A79" s="199" t="s">
        <v>7</v>
      </c>
      <c r="B79" s="196">
        <f>C79+D79+E79+F79</f>
        <v>0</v>
      </c>
      <c r="C79" s="196">
        <f>C80+C81+C82</f>
        <v>0</v>
      </c>
      <c r="D79" s="196">
        <f>D80+D81+D82</f>
        <v>0</v>
      </c>
      <c r="E79" s="196">
        <f>E80+E81+E82</f>
        <v>0</v>
      </c>
      <c r="F79" s="197">
        <f>F80+F81+F82</f>
        <v>0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s="3" customFormat="1" ht="32.25" customHeight="1">
      <c r="A80" s="199" t="s">
        <v>8</v>
      </c>
      <c r="B80" s="196">
        <f>C80+D80+E80+F80</f>
        <v>0</v>
      </c>
      <c r="C80" s="200"/>
      <c r="D80" s="196"/>
      <c r="E80" s="196"/>
      <c r="F80" s="197"/>
      <c r="G80" s="60"/>
      <c r="H80" s="60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s="3" customFormat="1" ht="32.25" customHeight="1">
      <c r="A81" s="199" t="s">
        <v>39</v>
      </c>
      <c r="B81" s="196">
        <f>C81+D81+E81+F81</f>
        <v>0</v>
      </c>
      <c r="C81" s="200">
        <v>0</v>
      </c>
      <c r="D81" s="200"/>
      <c r="E81" s="200"/>
      <c r="F81" s="201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</row>
    <row r="82" spans="1:18" s="3" customFormat="1" ht="32.25" customHeight="1">
      <c r="A82" s="199" t="s">
        <v>9</v>
      </c>
      <c r="B82" s="196">
        <f t="shared" si="0"/>
        <v>0</v>
      </c>
      <c r="C82" s="200"/>
      <c r="D82" s="196"/>
      <c r="E82" s="200"/>
      <c r="F82" s="201"/>
      <c r="G82" s="93"/>
      <c r="H82" s="93"/>
      <c r="I82" s="54"/>
      <c r="J82" s="54"/>
      <c r="K82" s="54"/>
      <c r="L82" s="54"/>
      <c r="M82" s="54"/>
      <c r="N82" s="54"/>
      <c r="O82" s="54"/>
      <c r="P82" s="54"/>
      <c r="Q82" s="54"/>
      <c r="R82" s="54"/>
    </row>
    <row r="83" spans="1:18" s="120" customFormat="1" ht="32.25" customHeight="1">
      <c r="A83" s="231" t="s">
        <v>4</v>
      </c>
      <c r="B83" s="196">
        <f t="shared" si="0"/>
        <v>155.928</v>
      </c>
      <c r="C83" s="196">
        <f>C84+C85</f>
        <v>155.928</v>
      </c>
      <c r="D83" s="196"/>
      <c r="E83" s="196"/>
      <c r="F83" s="197"/>
      <c r="G83" s="93"/>
      <c r="H83" s="93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8" s="30" customFormat="1" ht="32.25" customHeight="1">
      <c r="A84" s="198" t="s">
        <v>21</v>
      </c>
      <c r="B84" s="196">
        <f t="shared" si="0"/>
        <v>155.928</v>
      </c>
      <c r="C84" s="196">
        <v>155.928</v>
      </c>
      <c r="D84" s="196"/>
      <c r="E84" s="196">
        <f>E83-E85</f>
        <v>0</v>
      </c>
      <c r="F84" s="197">
        <f>F83-F85</f>
        <v>0</v>
      </c>
      <c r="G84" s="120"/>
      <c r="H84" s="120"/>
    </row>
    <row r="85" spans="1:8" s="30" customFormat="1" ht="32.25" customHeight="1">
      <c r="A85" s="199" t="s">
        <v>7</v>
      </c>
      <c r="B85" s="196">
        <f t="shared" si="0"/>
        <v>0</v>
      </c>
      <c r="C85" s="196">
        <f>C86+C87+C88</f>
        <v>0</v>
      </c>
      <c r="D85" s="196">
        <f>D86+D87+D88</f>
        <v>0</v>
      </c>
      <c r="E85" s="196">
        <f>E86+E87+E88</f>
        <v>0</v>
      </c>
      <c r="F85" s="197">
        <f>F86+F87+F88</f>
        <v>0</v>
      </c>
      <c r="G85" s="120"/>
      <c r="H85" s="120"/>
    </row>
    <row r="86" spans="1:18" s="3" customFormat="1" ht="32.25" customHeight="1">
      <c r="A86" s="199" t="s">
        <v>8</v>
      </c>
      <c r="B86" s="196">
        <f t="shared" si="0"/>
        <v>0</v>
      </c>
      <c r="C86" s="200"/>
      <c r="D86" s="196"/>
      <c r="E86" s="196"/>
      <c r="F86" s="197"/>
      <c r="G86" s="93"/>
      <c r="H86" s="93"/>
      <c r="I86" s="54"/>
      <c r="J86" s="54"/>
      <c r="K86" s="54"/>
      <c r="L86" s="54"/>
      <c r="M86" s="54"/>
      <c r="N86" s="54"/>
      <c r="O86" s="54"/>
      <c r="P86" s="54"/>
      <c r="Q86" s="54"/>
      <c r="R86" s="54"/>
    </row>
    <row r="87" spans="1:18" s="3" customFormat="1" ht="32.25" customHeight="1">
      <c r="A87" s="199" t="s">
        <v>39</v>
      </c>
      <c r="B87" s="196">
        <f>C87+D87+E87+F87</f>
        <v>0</v>
      </c>
      <c r="C87" s="200">
        <v>0</v>
      </c>
      <c r="D87" s="200"/>
      <c r="E87" s="200"/>
      <c r="F87" s="201"/>
      <c r="G87" s="93"/>
      <c r="H87" s="93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s="3" customFormat="1" ht="32.25" customHeight="1">
      <c r="A88" s="199" t="s">
        <v>9</v>
      </c>
      <c r="B88" s="196">
        <f aca="true" t="shared" si="1" ref="B88:B166">C88+D88+E88+F88</f>
        <v>0</v>
      </c>
      <c r="C88" s="200"/>
      <c r="D88" s="196"/>
      <c r="E88" s="196"/>
      <c r="F88" s="197"/>
      <c r="G88" s="60"/>
      <c r="H88" s="60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s="3" customFormat="1" ht="32.25" customHeight="1">
      <c r="A89" s="195" t="s">
        <v>58</v>
      </c>
      <c r="B89" s="196">
        <f t="shared" si="1"/>
        <v>1638.231</v>
      </c>
      <c r="C89" s="196">
        <f>C90+C91+C93</f>
        <v>1051.72</v>
      </c>
      <c r="D89" s="196">
        <f>D90+D91+D93</f>
        <v>0</v>
      </c>
      <c r="E89" s="196">
        <f>E90+E91+E93</f>
        <v>205.172</v>
      </c>
      <c r="F89" s="197">
        <f>F90+F91+F93</f>
        <v>381.339</v>
      </c>
      <c r="G89" s="93"/>
      <c r="H89" s="93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s="3" customFormat="1" ht="32.25" customHeight="1">
      <c r="A90" s="199" t="s">
        <v>10</v>
      </c>
      <c r="B90" s="196">
        <f t="shared" si="1"/>
        <v>308.097</v>
      </c>
      <c r="C90" s="196">
        <f>1051.72-C91</f>
        <v>0</v>
      </c>
      <c r="D90" s="196">
        <v>0</v>
      </c>
      <c r="E90" s="196">
        <f>205.172-E91</f>
        <v>202.666</v>
      </c>
      <c r="F90" s="197">
        <f>105.431-F91</f>
        <v>105.431</v>
      </c>
      <c r="G90" s="93"/>
      <c r="H90" s="93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s="3" customFormat="1" ht="32.25" customHeight="1">
      <c r="A91" s="198" t="s">
        <v>81</v>
      </c>
      <c r="B91" s="196">
        <f>C91+D91+E91+F91</f>
        <v>1054.226</v>
      </c>
      <c r="C91" s="196">
        <f>1051.72</f>
        <v>1051.72</v>
      </c>
      <c r="D91" s="196"/>
      <c r="E91" s="196">
        <v>2.506</v>
      </c>
      <c r="F91" s="197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s="30" customFormat="1" ht="32.25" customHeight="1">
      <c r="A92" s="198" t="s">
        <v>26</v>
      </c>
      <c r="B92" s="203">
        <f>C92+D92+E92+F92</f>
        <v>1.682</v>
      </c>
      <c r="C92" s="196">
        <v>1.678</v>
      </c>
      <c r="D92" s="225"/>
      <c r="E92" s="209">
        <v>0.004</v>
      </c>
      <c r="F92" s="197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30" customFormat="1" ht="32.25" customHeight="1">
      <c r="A93" s="199" t="s">
        <v>7</v>
      </c>
      <c r="B93" s="196">
        <f t="shared" si="1"/>
        <v>275.908</v>
      </c>
      <c r="C93" s="196">
        <f>C94+C95+C96</f>
        <v>0</v>
      </c>
      <c r="D93" s="196">
        <f>D94+D95+D96</f>
        <v>0</v>
      </c>
      <c r="E93" s="196">
        <f>E94+E95+E96</f>
        <v>0</v>
      </c>
      <c r="F93" s="197">
        <f>F94+F95+F96</f>
        <v>275.908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s="3" customFormat="1" ht="32.25" customHeight="1">
      <c r="A94" s="199" t="s">
        <v>8</v>
      </c>
      <c r="B94" s="196">
        <f t="shared" si="1"/>
        <v>251.88</v>
      </c>
      <c r="C94" s="200"/>
      <c r="D94" s="196"/>
      <c r="E94" s="196"/>
      <c r="F94" s="197">
        <v>251.88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8" s="3" customFormat="1" ht="32.25" customHeight="1">
      <c r="A95" s="199" t="s">
        <v>39</v>
      </c>
      <c r="B95" s="196">
        <f t="shared" si="1"/>
        <v>0</v>
      </c>
      <c r="C95" s="200">
        <v>0</v>
      </c>
      <c r="D95" s="200"/>
      <c r="E95" s="200"/>
      <c r="F95" s="201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</row>
    <row r="96" spans="1:18" s="3" customFormat="1" ht="32.25" customHeight="1">
      <c r="A96" s="199" t="s">
        <v>9</v>
      </c>
      <c r="B96" s="196">
        <f t="shared" si="1"/>
        <v>24.028</v>
      </c>
      <c r="C96" s="200"/>
      <c r="D96" s="196"/>
      <c r="E96" s="196"/>
      <c r="F96" s="197">
        <v>24.028</v>
      </c>
      <c r="G96" s="60"/>
      <c r="H96" s="60"/>
      <c r="I96" s="54"/>
      <c r="J96" s="54"/>
      <c r="K96" s="54"/>
      <c r="L96" s="54"/>
      <c r="M96" s="54"/>
      <c r="N96" s="54"/>
      <c r="O96" s="54"/>
      <c r="P96" s="54"/>
      <c r="Q96" s="54"/>
      <c r="R96" s="54"/>
    </row>
    <row r="97" spans="1:18" s="3" customFormat="1" ht="32.25" customHeight="1">
      <c r="A97" s="195" t="s">
        <v>15</v>
      </c>
      <c r="B97" s="196">
        <f t="shared" si="1"/>
        <v>1957.709</v>
      </c>
      <c r="C97" s="196">
        <f>C98+C99</f>
        <v>1952.009</v>
      </c>
      <c r="D97" s="196"/>
      <c r="E97" s="196">
        <f>E98+E99</f>
        <v>0</v>
      </c>
      <c r="F97" s="197">
        <f>F98+F99</f>
        <v>5.7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spans="1:18" s="3" customFormat="1" ht="32.25" customHeight="1">
      <c r="A98" s="199" t="s">
        <v>10</v>
      </c>
      <c r="B98" s="196">
        <f t="shared" si="1"/>
        <v>959.4920000000001</v>
      </c>
      <c r="C98" s="209">
        <f>1952.009-C99</f>
        <v>953.792</v>
      </c>
      <c r="D98" s="209"/>
      <c r="E98" s="209"/>
      <c r="F98" s="210">
        <v>5.7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</row>
    <row r="99" spans="1:18" s="3" customFormat="1" ht="32.25" customHeight="1">
      <c r="A99" s="198" t="s">
        <v>38</v>
      </c>
      <c r="B99" s="196">
        <f t="shared" si="1"/>
        <v>998.217</v>
      </c>
      <c r="C99" s="196">
        <v>998.217</v>
      </c>
      <c r="D99" s="196"/>
      <c r="E99" s="196"/>
      <c r="F99" s="197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spans="1:18" s="3" customFormat="1" ht="32.25" customHeight="1">
      <c r="A100" s="198" t="s">
        <v>26</v>
      </c>
      <c r="B100" s="196">
        <f t="shared" si="1"/>
        <v>0.683</v>
      </c>
      <c r="C100" s="196">
        <v>0.683</v>
      </c>
      <c r="D100" s="196"/>
      <c r="E100" s="200"/>
      <c r="F100" s="197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</row>
    <row r="101" spans="1:18" s="3" customFormat="1" ht="32.25" customHeight="1">
      <c r="A101" s="199" t="s">
        <v>7</v>
      </c>
      <c r="B101" s="196">
        <f t="shared" si="1"/>
        <v>0</v>
      </c>
      <c r="C101" s="196">
        <f>C102+C103+C104</f>
        <v>0</v>
      </c>
      <c r="D101" s="196">
        <f>D102+D103+D104</f>
        <v>0</v>
      </c>
      <c r="E101" s="196">
        <f>E102+E103+E104</f>
        <v>0</v>
      </c>
      <c r="F101" s="197">
        <f>F102+F103+F104</f>
        <v>0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</row>
    <row r="102" spans="1:18" s="3" customFormat="1" ht="32.25" customHeight="1">
      <c r="A102" s="199" t="s">
        <v>8</v>
      </c>
      <c r="B102" s="196">
        <f t="shared" si="1"/>
        <v>0</v>
      </c>
      <c r="C102" s="200"/>
      <c r="D102" s="196"/>
      <c r="E102" s="196"/>
      <c r="F102" s="197"/>
      <c r="G102" s="60"/>
      <c r="H102" s="60"/>
      <c r="I102" s="54"/>
      <c r="J102" s="54"/>
      <c r="K102" s="54"/>
      <c r="L102" s="54"/>
      <c r="M102" s="54"/>
      <c r="N102" s="54"/>
      <c r="O102" s="54"/>
      <c r="P102" s="54"/>
      <c r="Q102" s="54"/>
      <c r="R102" s="54"/>
    </row>
    <row r="103" spans="1:18" s="3" customFormat="1" ht="32.25" customHeight="1">
      <c r="A103" s="199" t="s">
        <v>39</v>
      </c>
      <c r="B103" s="196">
        <f>C103+D103+E103+F103</f>
        <v>0</v>
      </c>
      <c r="C103" s="200">
        <v>0</v>
      </c>
      <c r="D103" s="200"/>
      <c r="E103" s="200"/>
      <c r="F103" s="201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spans="1:18" s="3" customFormat="1" ht="32.25" customHeight="1">
      <c r="A104" s="199" t="s">
        <v>9</v>
      </c>
      <c r="B104" s="196">
        <f t="shared" si="1"/>
        <v>0</v>
      </c>
      <c r="C104" s="200"/>
      <c r="D104" s="196"/>
      <c r="E104" s="196"/>
      <c r="F104" s="197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</row>
    <row r="105" spans="1:18" s="3" customFormat="1" ht="32.25" customHeight="1">
      <c r="A105" s="195" t="s">
        <v>57</v>
      </c>
      <c r="B105" s="196">
        <f t="shared" si="1"/>
        <v>19.306</v>
      </c>
      <c r="C105" s="196">
        <f>C106+C107</f>
        <v>0</v>
      </c>
      <c r="D105" s="196">
        <f>D106+D107</f>
        <v>0</v>
      </c>
      <c r="E105" s="196">
        <f>E106+E107</f>
        <v>19.306</v>
      </c>
      <c r="F105" s="197">
        <f>F106+F107</f>
        <v>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spans="1:18" s="3" customFormat="1" ht="32.25" customHeight="1">
      <c r="A106" s="199" t="s">
        <v>10</v>
      </c>
      <c r="B106" s="196">
        <f t="shared" si="1"/>
        <v>19.306</v>
      </c>
      <c r="C106" s="209"/>
      <c r="D106" s="209"/>
      <c r="E106" s="209">
        <v>19.306</v>
      </c>
      <c r="F106" s="210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</row>
    <row r="107" spans="1:18" s="3" customFormat="1" ht="32.25" customHeight="1">
      <c r="A107" s="199" t="s">
        <v>7</v>
      </c>
      <c r="B107" s="196">
        <f t="shared" si="1"/>
        <v>0</v>
      </c>
      <c r="C107" s="196">
        <f>C108+C109+C110</f>
        <v>0</v>
      </c>
      <c r="D107" s="196">
        <f>D108+D109+D110</f>
        <v>0</v>
      </c>
      <c r="E107" s="196">
        <f>E108+E109+E110</f>
        <v>0</v>
      </c>
      <c r="F107" s="197">
        <f>F108+F109+F110</f>
        <v>0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</row>
    <row r="108" spans="1:18" s="3" customFormat="1" ht="32.25" customHeight="1">
      <c r="A108" s="199" t="s">
        <v>8</v>
      </c>
      <c r="B108" s="196">
        <f t="shared" si="1"/>
        <v>0</v>
      </c>
      <c r="C108" s="200"/>
      <c r="D108" s="196"/>
      <c r="E108" s="200"/>
      <c r="F108" s="201"/>
      <c r="G108" s="60"/>
      <c r="H108" s="60"/>
      <c r="I108" s="54"/>
      <c r="J108" s="54"/>
      <c r="K108" s="54"/>
      <c r="L108" s="54"/>
      <c r="M108" s="54"/>
      <c r="N108" s="54"/>
      <c r="O108" s="54"/>
      <c r="P108" s="54"/>
      <c r="Q108" s="54"/>
      <c r="R108" s="54"/>
    </row>
    <row r="109" spans="1:18" s="3" customFormat="1" ht="32.25" customHeight="1">
      <c r="A109" s="199" t="s">
        <v>39</v>
      </c>
      <c r="B109" s="196">
        <f t="shared" si="1"/>
        <v>0</v>
      </c>
      <c r="C109" s="200">
        <v>0</v>
      </c>
      <c r="D109" s="200"/>
      <c r="E109" s="200"/>
      <c r="F109" s="201"/>
      <c r="G109" s="58"/>
      <c r="H109" s="58"/>
      <c r="I109" s="54"/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8" s="3" customFormat="1" ht="32.25" customHeight="1">
      <c r="A110" s="199" t="s">
        <v>9</v>
      </c>
      <c r="B110" s="196">
        <f t="shared" si="1"/>
        <v>0</v>
      </c>
      <c r="C110" s="200"/>
      <c r="D110" s="196"/>
      <c r="E110" s="200"/>
      <c r="F110" s="201"/>
      <c r="G110" s="95"/>
      <c r="H110" s="95"/>
      <c r="I110" s="54"/>
      <c r="J110" s="54"/>
      <c r="K110" s="54"/>
      <c r="L110" s="54"/>
      <c r="M110" s="54"/>
      <c r="N110" s="54"/>
      <c r="O110" s="54"/>
      <c r="P110" s="54"/>
      <c r="Q110" s="54"/>
      <c r="R110" s="54"/>
    </row>
    <row r="111" spans="1:18" s="3" customFormat="1" ht="32.25" customHeight="1">
      <c r="A111" s="195" t="s">
        <v>14</v>
      </c>
      <c r="B111" s="196">
        <f t="shared" si="1"/>
        <v>116.074</v>
      </c>
      <c r="C111" s="200"/>
      <c r="D111" s="196"/>
      <c r="E111" s="196">
        <f>E112+E113</f>
        <v>0</v>
      </c>
      <c r="F111" s="197">
        <f>F112+F113</f>
        <v>116.074</v>
      </c>
      <c r="G111" s="95"/>
      <c r="H111" s="95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s="3" customFormat="1" ht="32.25" customHeight="1">
      <c r="A112" s="199" t="s">
        <v>10</v>
      </c>
      <c r="B112" s="196">
        <f t="shared" si="1"/>
        <v>3.386</v>
      </c>
      <c r="C112" s="200"/>
      <c r="D112" s="196"/>
      <c r="E112" s="196"/>
      <c r="F112" s="210">
        <v>3.386</v>
      </c>
      <c r="G112" s="95"/>
      <c r="H112" s="95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18" s="3" customFormat="1" ht="32.25" customHeight="1">
      <c r="A113" s="199" t="s">
        <v>7</v>
      </c>
      <c r="B113" s="196">
        <f t="shared" si="1"/>
        <v>112.688</v>
      </c>
      <c r="C113" s="196">
        <f>C114+C115+C116</f>
        <v>0</v>
      </c>
      <c r="D113" s="196">
        <f>D114+D115+D116</f>
        <v>0</v>
      </c>
      <c r="E113" s="196">
        <f>E114+E115+E116</f>
        <v>0</v>
      </c>
      <c r="F113" s="197">
        <f>F114+F115+F116</f>
        <v>112.688</v>
      </c>
      <c r="G113" s="95"/>
      <c r="H113" s="95"/>
      <c r="I113" s="54"/>
      <c r="J113" s="54"/>
      <c r="K113" s="54"/>
      <c r="L113" s="54"/>
      <c r="M113" s="54"/>
      <c r="N113" s="54"/>
      <c r="O113" s="54"/>
      <c r="P113" s="54"/>
      <c r="Q113" s="54"/>
      <c r="R113" s="54"/>
    </row>
    <row r="114" spans="1:18" s="3" customFormat="1" ht="32.25" customHeight="1">
      <c r="A114" s="199" t="s">
        <v>8</v>
      </c>
      <c r="B114" s="196">
        <f t="shared" si="1"/>
        <v>112.688</v>
      </c>
      <c r="C114" s="200"/>
      <c r="D114" s="196"/>
      <c r="E114" s="200"/>
      <c r="F114" s="201">
        <v>112.688</v>
      </c>
      <c r="G114" s="60"/>
      <c r="H114" s="60"/>
      <c r="I114" s="54"/>
      <c r="J114" s="54"/>
      <c r="K114" s="54"/>
      <c r="L114" s="54"/>
      <c r="M114" s="54"/>
      <c r="N114" s="54"/>
      <c r="O114" s="54"/>
      <c r="P114" s="54"/>
      <c r="Q114" s="54"/>
      <c r="R114" s="54"/>
    </row>
    <row r="115" spans="1:18" s="3" customFormat="1" ht="32.25" customHeight="1">
      <c r="A115" s="199" t="s">
        <v>39</v>
      </c>
      <c r="B115" s="196">
        <f>C115+D115+E115+F115</f>
        <v>0</v>
      </c>
      <c r="C115" s="200">
        <v>0</v>
      </c>
      <c r="D115" s="200"/>
      <c r="E115" s="200"/>
      <c r="F115" s="201"/>
      <c r="G115" s="95"/>
      <c r="H115" s="95"/>
      <c r="I115" s="54"/>
      <c r="J115" s="54"/>
      <c r="K115" s="54"/>
      <c r="L115" s="54"/>
      <c r="M115" s="54"/>
      <c r="N115" s="54"/>
      <c r="O115" s="54"/>
      <c r="P115" s="54"/>
      <c r="Q115" s="54"/>
      <c r="R115" s="54"/>
    </row>
    <row r="116" spans="1:18" s="3" customFormat="1" ht="32.25" customHeight="1">
      <c r="A116" s="199" t="s">
        <v>9</v>
      </c>
      <c r="B116" s="196">
        <f t="shared" si="1"/>
        <v>0</v>
      </c>
      <c r="C116" s="200"/>
      <c r="D116" s="196"/>
      <c r="E116" s="200"/>
      <c r="F116" s="201"/>
      <c r="G116" s="95"/>
      <c r="H116" s="95"/>
      <c r="I116" s="54"/>
      <c r="J116" s="54"/>
      <c r="K116" s="54"/>
      <c r="L116" s="54"/>
      <c r="M116" s="54"/>
      <c r="N116" s="54"/>
      <c r="O116" s="54"/>
      <c r="P116" s="54"/>
      <c r="Q116" s="54"/>
      <c r="R116" s="54"/>
    </row>
    <row r="117" spans="1:18" s="3" customFormat="1" ht="32.25" customHeight="1">
      <c r="A117" s="195" t="s">
        <v>18</v>
      </c>
      <c r="B117" s="196">
        <f t="shared" si="1"/>
        <v>231.377</v>
      </c>
      <c r="C117" s="196">
        <f>C118+C119+C121</f>
        <v>0</v>
      </c>
      <c r="D117" s="196">
        <f>D118+D119+D121</f>
        <v>0</v>
      </c>
      <c r="E117" s="196">
        <f>E118+E119+E121</f>
        <v>11.924</v>
      </c>
      <c r="F117" s="197">
        <f>F118+F119+F121</f>
        <v>219.453</v>
      </c>
      <c r="G117" s="95"/>
      <c r="H117" s="95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3" customFormat="1" ht="32.25" customHeight="1">
      <c r="A118" s="199" t="s">
        <v>10</v>
      </c>
      <c r="B118" s="196">
        <f t="shared" si="1"/>
        <v>61.565999999999995</v>
      </c>
      <c r="C118" s="200"/>
      <c r="D118" s="196"/>
      <c r="E118" s="209">
        <v>11.924</v>
      </c>
      <c r="F118" s="210">
        <f>51.458-F119</f>
        <v>49.641999999999996</v>
      </c>
      <c r="G118" s="142"/>
      <c r="H118" s="142"/>
      <c r="I118" s="54"/>
      <c r="J118" s="54"/>
      <c r="K118" s="54"/>
      <c r="L118" s="54"/>
      <c r="M118" s="54"/>
      <c r="N118" s="54"/>
      <c r="O118" s="54"/>
      <c r="P118" s="54"/>
      <c r="Q118" s="54"/>
      <c r="R118" s="54"/>
    </row>
    <row r="119" spans="1:18" s="3" customFormat="1" ht="32.25" customHeight="1">
      <c r="A119" s="198" t="s">
        <v>82</v>
      </c>
      <c r="B119" s="196">
        <f>C119+D119+E119+F119</f>
        <v>1.816</v>
      </c>
      <c r="C119" s="196"/>
      <c r="D119" s="196"/>
      <c r="E119" s="200"/>
      <c r="F119" s="197">
        <v>1.816</v>
      </c>
      <c r="G119" s="95"/>
      <c r="H119" s="95"/>
      <c r="I119" s="54"/>
      <c r="J119" s="54"/>
      <c r="K119" s="54"/>
      <c r="L119" s="54"/>
      <c r="M119" s="54"/>
      <c r="N119" s="54"/>
      <c r="O119" s="54"/>
      <c r="P119" s="54"/>
      <c r="Q119" s="54"/>
      <c r="R119" s="54"/>
    </row>
    <row r="120" spans="1:18" s="3" customFormat="1" ht="32.25" customHeight="1">
      <c r="A120" s="198" t="s">
        <v>26</v>
      </c>
      <c r="B120" s="196">
        <f>C120+D120+E120+F120</f>
        <v>0.003</v>
      </c>
      <c r="C120" s="196"/>
      <c r="D120" s="196"/>
      <c r="E120" s="200"/>
      <c r="F120" s="197">
        <v>0.003</v>
      </c>
      <c r="G120" s="60"/>
      <c r="H120" s="60"/>
      <c r="I120" s="54"/>
      <c r="J120" s="54"/>
      <c r="K120" s="54"/>
      <c r="L120" s="54"/>
      <c r="M120" s="54"/>
      <c r="N120" s="54"/>
      <c r="O120" s="54"/>
      <c r="P120" s="54"/>
      <c r="Q120" s="54"/>
      <c r="R120" s="54"/>
    </row>
    <row r="121" spans="1:18" s="3" customFormat="1" ht="32.25" customHeight="1">
      <c r="A121" s="199" t="s">
        <v>7</v>
      </c>
      <c r="B121" s="196">
        <f t="shared" si="1"/>
        <v>167.995</v>
      </c>
      <c r="C121" s="196">
        <f>C122+C123+C124</f>
        <v>0</v>
      </c>
      <c r="D121" s="196">
        <f>D122+D123+D124</f>
        <v>0</v>
      </c>
      <c r="E121" s="196">
        <v>0</v>
      </c>
      <c r="F121" s="197">
        <f>F124</f>
        <v>167.995</v>
      </c>
      <c r="G121" s="95"/>
      <c r="H121" s="95"/>
      <c r="I121" s="54"/>
      <c r="J121" s="54"/>
      <c r="K121" s="54"/>
      <c r="L121" s="54"/>
      <c r="M121" s="54"/>
      <c r="N121" s="54"/>
      <c r="O121" s="54"/>
      <c r="P121" s="54"/>
      <c r="Q121" s="54"/>
      <c r="R121" s="54"/>
    </row>
    <row r="122" spans="1:18" s="3" customFormat="1" ht="32.25" customHeight="1">
      <c r="A122" s="199" t="s">
        <v>8</v>
      </c>
      <c r="B122" s="196">
        <f>C122+D122+E122+F122</f>
        <v>0</v>
      </c>
      <c r="C122" s="200"/>
      <c r="D122" s="196"/>
      <c r="E122" s="200"/>
      <c r="F122" s="201"/>
      <c r="G122" s="95"/>
      <c r="H122" s="95"/>
      <c r="I122" s="54"/>
      <c r="J122" s="54"/>
      <c r="K122" s="54"/>
      <c r="L122" s="54"/>
      <c r="M122" s="54"/>
      <c r="N122" s="54"/>
      <c r="O122" s="54"/>
      <c r="P122" s="54"/>
      <c r="Q122" s="54"/>
      <c r="R122" s="54"/>
    </row>
    <row r="123" spans="1:18" s="3" customFormat="1" ht="32.25" customHeight="1">
      <c r="A123" s="199" t="s">
        <v>39</v>
      </c>
      <c r="B123" s="196">
        <f>C123+D123+E123+F123</f>
        <v>0</v>
      </c>
      <c r="C123" s="200">
        <v>0</v>
      </c>
      <c r="D123" s="200"/>
      <c r="E123" s="200"/>
      <c r="F123" s="201"/>
      <c r="G123" s="95"/>
      <c r="H123" s="95"/>
      <c r="I123" s="54"/>
      <c r="J123" s="54"/>
      <c r="K123" s="54"/>
      <c r="L123" s="54"/>
      <c r="M123" s="54"/>
      <c r="N123" s="54"/>
      <c r="O123" s="54"/>
      <c r="P123" s="54"/>
      <c r="Q123" s="54"/>
      <c r="R123" s="54"/>
    </row>
    <row r="124" spans="1:18" s="3" customFormat="1" ht="32.25" customHeight="1">
      <c r="A124" s="199" t="s">
        <v>9</v>
      </c>
      <c r="B124" s="196">
        <f t="shared" si="1"/>
        <v>167.995</v>
      </c>
      <c r="C124" s="200"/>
      <c r="D124" s="196"/>
      <c r="E124" s="196"/>
      <c r="F124" s="197">
        <v>167.995</v>
      </c>
      <c r="G124" s="95"/>
      <c r="H124" s="95"/>
      <c r="I124" s="54"/>
      <c r="J124" s="54"/>
      <c r="K124" s="54"/>
      <c r="L124" s="54"/>
      <c r="M124" s="54"/>
      <c r="N124" s="54"/>
      <c r="O124" s="54"/>
      <c r="P124" s="54"/>
      <c r="Q124" s="54"/>
      <c r="R124" s="54"/>
    </row>
    <row r="125" spans="1:18" s="3" customFormat="1" ht="32.25" customHeight="1">
      <c r="A125" s="195" t="s">
        <v>13</v>
      </c>
      <c r="B125" s="196">
        <f t="shared" si="1"/>
        <v>110.319</v>
      </c>
      <c r="C125" s="196">
        <f>C126+C127</f>
        <v>0</v>
      </c>
      <c r="D125" s="196"/>
      <c r="E125" s="196">
        <f>E126+E127</f>
        <v>110.319</v>
      </c>
      <c r="F125" s="197">
        <f>F126+F127</f>
        <v>0</v>
      </c>
      <c r="G125" s="95"/>
      <c r="H125" s="95"/>
      <c r="I125" s="54"/>
      <c r="J125" s="54"/>
      <c r="K125" s="54"/>
      <c r="L125" s="54"/>
      <c r="M125" s="54"/>
      <c r="N125" s="54"/>
      <c r="O125" s="54"/>
      <c r="P125" s="54"/>
      <c r="Q125" s="54"/>
      <c r="R125" s="54"/>
    </row>
    <row r="126" spans="1:18" s="3" customFormat="1" ht="32.25" customHeight="1">
      <c r="A126" s="199" t="s">
        <v>10</v>
      </c>
      <c r="B126" s="196">
        <f t="shared" si="1"/>
        <v>110.319</v>
      </c>
      <c r="C126" s="209"/>
      <c r="D126" s="209"/>
      <c r="E126" s="209">
        <v>110.319</v>
      </c>
      <c r="F126" s="210"/>
      <c r="G126" s="60"/>
      <c r="H126" s="60"/>
      <c r="I126" s="54"/>
      <c r="J126" s="54"/>
      <c r="K126" s="54"/>
      <c r="L126" s="54"/>
      <c r="M126" s="54"/>
      <c r="N126" s="54"/>
      <c r="O126" s="54"/>
      <c r="P126" s="54"/>
      <c r="Q126" s="54"/>
      <c r="R126" s="54"/>
    </row>
    <row r="127" spans="1:18" s="3" customFormat="1" ht="32.25" customHeight="1">
      <c r="A127" s="199" t="s">
        <v>7</v>
      </c>
      <c r="B127" s="196">
        <f t="shared" si="1"/>
        <v>0</v>
      </c>
      <c r="C127" s="196">
        <f>C128+C129+C130</f>
        <v>0</v>
      </c>
      <c r="D127" s="196">
        <f>D128+D129+D130</f>
        <v>0</v>
      </c>
      <c r="E127" s="196">
        <f>E128+E129+E130</f>
        <v>0</v>
      </c>
      <c r="F127" s="197">
        <f>F128+F129+F130</f>
        <v>0</v>
      </c>
      <c r="G127" s="58"/>
      <c r="H127" s="58"/>
      <c r="I127" s="54"/>
      <c r="J127" s="54"/>
      <c r="K127" s="54"/>
      <c r="L127" s="54"/>
      <c r="M127" s="54"/>
      <c r="N127" s="54"/>
      <c r="O127" s="54"/>
      <c r="P127" s="54"/>
      <c r="Q127" s="54"/>
      <c r="R127" s="54"/>
    </row>
    <row r="128" spans="1:18" s="3" customFormat="1" ht="32.25" customHeight="1">
      <c r="A128" s="199" t="s">
        <v>8</v>
      </c>
      <c r="B128" s="196">
        <f t="shared" si="1"/>
        <v>0</v>
      </c>
      <c r="C128" s="200"/>
      <c r="D128" s="196"/>
      <c r="E128" s="200"/>
      <c r="F128" s="201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</row>
    <row r="129" spans="1:18" s="3" customFormat="1" ht="32.25" customHeight="1">
      <c r="A129" s="199" t="s">
        <v>39</v>
      </c>
      <c r="B129" s="196">
        <f>C129+D129+E129+F129</f>
        <v>0</v>
      </c>
      <c r="C129" s="200">
        <v>0</v>
      </c>
      <c r="D129" s="200"/>
      <c r="E129" s="200"/>
      <c r="F129" s="201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</row>
    <row r="130" spans="1:18" s="3" customFormat="1" ht="32.25" customHeight="1">
      <c r="A130" s="199" t="s">
        <v>9</v>
      </c>
      <c r="B130" s="196">
        <f t="shared" si="1"/>
        <v>0</v>
      </c>
      <c r="C130" s="200"/>
      <c r="D130" s="196"/>
      <c r="E130" s="200"/>
      <c r="F130" s="201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s="3" customFormat="1" ht="32.25" customHeight="1">
      <c r="A131" s="195" t="s">
        <v>62</v>
      </c>
      <c r="B131" s="196">
        <f t="shared" si="1"/>
        <v>16.186</v>
      </c>
      <c r="C131" s="200"/>
      <c r="D131" s="196"/>
      <c r="E131" s="196">
        <f>E132+E133</f>
        <v>0</v>
      </c>
      <c r="F131" s="197">
        <f>F132+F133</f>
        <v>16.186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</row>
    <row r="132" spans="1:18" s="3" customFormat="1" ht="32.25" customHeight="1">
      <c r="A132" s="199" t="s">
        <v>10</v>
      </c>
      <c r="B132" s="196">
        <f t="shared" si="1"/>
        <v>16.186</v>
      </c>
      <c r="C132" s="200"/>
      <c r="D132" s="196"/>
      <c r="E132" s="196"/>
      <c r="F132" s="210">
        <v>16.186</v>
      </c>
      <c r="G132" s="60"/>
      <c r="H132" s="60"/>
      <c r="I132" s="54"/>
      <c r="J132" s="54"/>
      <c r="K132" s="54"/>
      <c r="L132" s="54"/>
      <c r="M132" s="54"/>
      <c r="N132" s="54"/>
      <c r="O132" s="54"/>
      <c r="P132" s="54"/>
      <c r="Q132" s="54"/>
      <c r="R132" s="54"/>
    </row>
    <row r="133" spans="1:18" s="3" customFormat="1" ht="32.25" customHeight="1">
      <c r="A133" s="199" t="s">
        <v>7</v>
      </c>
      <c r="B133" s="196">
        <f t="shared" si="1"/>
        <v>0</v>
      </c>
      <c r="C133" s="196">
        <f>C134+C135+C136</f>
        <v>0</v>
      </c>
      <c r="D133" s="196">
        <f>D134+D135+D136</f>
        <v>0</v>
      </c>
      <c r="E133" s="196">
        <f>E134+E135+E136</f>
        <v>0</v>
      </c>
      <c r="F133" s="197">
        <f>F134+F135+F136</f>
        <v>0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</row>
    <row r="134" spans="1:18" s="3" customFormat="1" ht="32.25" customHeight="1">
      <c r="A134" s="199" t="s">
        <v>8</v>
      </c>
      <c r="B134" s="196">
        <f t="shared" si="1"/>
        <v>0</v>
      </c>
      <c r="C134" s="200"/>
      <c r="D134" s="196"/>
      <c r="E134" s="200"/>
      <c r="F134" s="201"/>
      <c r="G134" s="58"/>
      <c r="H134" s="58"/>
      <c r="I134" s="54"/>
      <c r="J134" s="54"/>
      <c r="K134" s="54"/>
      <c r="L134" s="54"/>
      <c r="M134" s="54"/>
      <c r="N134" s="54"/>
      <c r="O134" s="54"/>
      <c r="P134" s="54"/>
      <c r="Q134" s="54"/>
      <c r="R134" s="54"/>
    </row>
    <row r="135" spans="1:18" s="3" customFormat="1" ht="32.25" customHeight="1">
      <c r="A135" s="199" t="s">
        <v>39</v>
      </c>
      <c r="B135" s="196">
        <f t="shared" si="1"/>
        <v>0</v>
      </c>
      <c r="C135" s="200">
        <v>0</v>
      </c>
      <c r="D135" s="200"/>
      <c r="E135" s="200"/>
      <c r="F135" s="201"/>
      <c r="G135" s="61"/>
      <c r="H135" s="61"/>
      <c r="I135" s="54"/>
      <c r="J135" s="54"/>
      <c r="K135" s="54"/>
      <c r="L135" s="54"/>
      <c r="M135" s="54"/>
      <c r="N135" s="54"/>
      <c r="O135" s="54"/>
      <c r="P135" s="54"/>
      <c r="Q135" s="54"/>
      <c r="R135" s="54"/>
    </row>
    <row r="136" spans="1:18" s="3" customFormat="1" ht="32.25" customHeight="1">
      <c r="A136" s="199" t="s">
        <v>9</v>
      </c>
      <c r="B136" s="196">
        <f t="shared" si="1"/>
        <v>0</v>
      </c>
      <c r="C136" s="200"/>
      <c r="D136" s="196"/>
      <c r="E136" s="200"/>
      <c r="F136" s="201"/>
      <c r="G136" s="61"/>
      <c r="H136" s="61"/>
      <c r="I136" s="54"/>
      <c r="J136" s="54"/>
      <c r="K136" s="54"/>
      <c r="L136" s="54"/>
      <c r="M136" s="54"/>
      <c r="N136" s="54"/>
      <c r="O136" s="54"/>
      <c r="P136" s="54"/>
      <c r="Q136" s="54"/>
      <c r="R136" s="54"/>
    </row>
    <row r="137" spans="1:18" s="3" customFormat="1" ht="32.25" customHeight="1">
      <c r="A137" s="195" t="s">
        <v>83</v>
      </c>
      <c r="B137" s="196">
        <f t="shared" si="1"/>
        <v>412.699</v>
      </c>
      <c r="C137" s="196">
        <f>C138+C139</f>
        <v>350.796</v>
      </c>
      <c r="D137" s="196">
        <f>D138+D139</f>
        <v>0</v>
      </c>
      <c r="E137" s="196">
        <f>E138+E139</f>
        <v>61.903</v>
      </c>
      <c r="F137" s="197">
        <f>F138+F139</f>
        <v>0</v>
      </c>
      <c r="G137" s="61"/>
      <c r="H137" s="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</row>
    <row r="138" spans="1:18" s="3" customFormat="1" ht="32.25" customHeight="1">
      <c r="A138" s="199" t="s">
        <v>10</v>
      </c>
      <c r="B138" s="196">
        <f t="shared" si="1"/>
        <v>412.699</v>
      </c>
      <c r="C138" s="271">
        <v>350.796</v>
      </c>
      <c r="D138" s="196"/>
      <c r="E138" s="196">
        <v>61.903</v>
      </c>
      <c r="F138" s="210"/>
      <c r="G138" s="60"/>
      <c r="H138" s="60"/>
      <c r="I138" s="54"/>
      <c r="J138" s="54"/>
      <c r="K138" s="54"/>
      <c r="L138" s="54"/>
      <c r="M138" s="54"/>
      <c r="N138" s="54"/>
      <c r="O138" s="54"/>
      <c r="P138" s="54"/>
      <c r="Q138" s="54"/>
      <c r="R138" s="54"/>
    </row>
    <row r="139" spans="1:18" s="3" customFormat="1" ht="32.25" customHeight="1">
      <c r="A139" s="199" t="s">
        <v>7</v>
      </c>
      <c r="B139" s="196">
        <f t="shared" si="1"/>
        <v>0</v>
      </c>
      <c r="C139" s="196">
        <f>C140+C141+C142</f>
        <v>0</v>
      </c>
      <c r="D139" s="196">
        <f>D140+D141+D142</f>
        <v>0</v>
      </c>
      <c r="E139" s="196">
        <f>E140+E141+E142</f>
        <v>0</v>
      </c>
      <c r="F139" s="197">
        <f>F140+F141+F142</f>
        <v>0</v>
      </c>
      <c r="G139" s="61"/>
      <c r="H139" s="61"/>
      <c r="I139" s="54"/>
      <c r="J139" s="54"/>
      <c r="K139" s="54"/>
      <c r="L139" s="54"/>
      <c r="M139" s="54"/>
      <c r="N139" s="54"/>
      <c r="O139" s="54"/>
      <c r="P139" s="54"/>
      <c r="Q139" s="54"/>
      <c r="R139" s="54"/>
    </row>
    <row r="140" spans="1:18" s="3" customFormat="1" ht="32.25" customHeight="1">
      <c r="A140" s="199" t="s">
        <v>8</v>
      </c>
      <c r="B140" s="196">
        <f t="shared" si="1"/>
        <v>0</v>
      </c>
      <c r="C140" s="200"/>
      <c r="D140" s="196"/>
      <c r="E140" s="196"/>
      <c r="F140" s="197"/>
      <c r="G140" s="61"/>
      <c r="H140" s="61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spans="1:18" s="3" customFormat="1" ht="32.25" customHeight="1">
      <c r="A141" s="199" t="s">
        <v>39</v>
      </c>
      <c r="B141" s="196">
        <f>C141+D141+E141+F141</f>
        <v>0</v>
      </c>
      <c r="C141" s="200">
        <v>0</v>
      </c>
      <c r="D141" s="200"/>
      <c r="E141" s="200"/>
      <c r="F141" s="201"/>
      <c r="G141" s="61"/>
      <c r="H141" s="61"/>
      <c r="I141" s="54"/>
      <c r="J141" s="54"/>
      <c r="K141" s="54"/>
      <c r="L141" s="54"/>
      <c r="M141" s="54"/>
      <c r="N141" s="54"/>
      <c r="O141" s="54"/>
      <c r="P141" s="54"/>
      <c r="Q141" s="54"/>
      <c r="R141" s="54"/>
    </row>
    <row r="142" spans="1:18" s="3" customFormat="1" ht="32.25" customHeight="1">
      <c r="A142" s="199" t="s">
        <v>9</v>
      </c>
      <c r="B142" s="196">
        <f t="shared" si="1"/>
        <v>0</v>
      </c>
      <c r="C142" s="200"/>
      <c r="D142" s="196"/>
      <c r="E142" s="196"/>
      <c r="F142" s="197"/>
      <c r="G142" s="38"/>
      <c r="H142" s="61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spans="1:18" s="3" customFormat="1" ht="32.25" customHeight="1">
      <c r="A143" s="195" t="s">
        <v>56</v>
      </c>
      <c r="B143" s="196">
        <f t="shared" si="1"/>
        <v>246.34</v>
      </c>
      <c r="C143" s="196"/>
      <c r="D143" s="196"/>
      <c r="E143" s="196">
        <f>E144+E145</f>
        <v>246.34</v>
      </c>
      <c r="F143" s="197">
        <f>F144+F145</f>
        <v>0</v>
      </c>
      <c r="G143" s="38"/>
      <c r="H143" s="62"/>
      <c r="I143" s="54"/>
      <c r="J143" s="54"/>
      <c r="K143" s="54"/>
      <c r="L143" s="54"/>
      <c r="M143" s="54"/>
      <c r="N143" s="54"/>
      <c r="O143" s="54"/>
      <c r="P143" s="54"/>
      <c r="Q143" s="54"/>
      <c r="R143" s="54"/>
    </row>
    <row r="144" spans="1:18" s="3" customFormat="1" ht="32.25" customHeight="1">
      <c r="A144" s="199" t="s">
        <v>10</v>
      </c>
      <c r="B144" s="196">
        <f t="shared" si="1"/>
        <v>133.317</v>
      </c>
      <c r="C144" s="196"/>
      <c r="D144" s="196"/>
      <c r="E144" s="196">
        <v>133.317</v>
      </c>
      <c r="F144" s="197"/>
      <c r="G144" s="38"/>
      <c r="H144" s="38"/>
      <c r="I144" s="54"/>
      <c r="J144" s="54"/>
      <c r="K144" s="54"/>
      <c r="L144" s="54"/>
      <c r="M144" s="54"/>
      <c r="N144" s="54"/>
      <c r="O144" s="54"/>
      <c r="P144" s="54"/>
      <c r="Q144" s="54"/>
      <c r="R144" s="54"/>
    </row>
    <row r="145" spans="1:18" s="3" customFormat="1" ht="32.25" customHeight="1">
      <c r="A145" s="199" t="s">
        <v>7</v>
      </c>
      <c r="B145" s="196">
        <f t="shared" si="1"/>
        <v>113.023</v>
      </c>
      <c r="C145" s="196">
        <f>C146+C147+C148</f>
        <v>0</v>
      </c>
      <c r="D145" s="196">
        <f>D146+D147+D148</f>
        <v>0</v>
      </c>
      <c r="E145" s="196">
        <f>E146+E147+E148</f>
        <v>113.023</v>
      </c>
      <c r="F145" s="197">
        <f>F146+F147+F148</f>
        <v>0</v>
      </c>
      <c r="G145" s="37"/>
      <c r="H145" s="37"/>
      <c r="I145" s="54"/>
      <c r="J145" s="54"/>
      <c r="K145" s="54"/>
      <c r="L145" s="54"/>
      <c r="M145" s="54"/>
      <c r="N145" s="54"/>
      <c r="O145" s="54"/>
      <c r="P145" s="54"/>
      <c r="Q145" s="54"/>
      <c r="R145" s="54"/>
    </row>
    <row r="146" spans="1:18" s="117" customFormat="1" ht="32.25" customHeight="1">
      <c r="A146" s="199" t="s">
        <v>8</v>
      </c>
      <c r="B146" s="196">
        <f t="shared" si="1"/>
        <v>113.023</v>
      </c>
      <c r="C146" s="196"/>
      <c r="D146" s="196"/>
      <c r="E146" s="200">
        <v>113.023</v>
      </c>
      <c r="F146" s="201"/>
      <c r="G146" s="58"/>
      <c r="H146" s="58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spans="1:18" s="3" customFormat="1" ht="32.25" customHeight="1">
      <c r="A147" s="199" t="s">
        <v>39</v>
      </c>
      <c r="B147" s="196">
        <f t="shared" si="1"/>
        <v>0</v>
      </c>
      <c r="C147" s="200">
        <v>0</v>
      </c>
      <c r="D147" s="200"/>
      <c r="E147" s="200"/>
      <c r="F147" s="201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</row>
    <row r="148" spans="1:8" s="30" customFormat="1" ht="32.25" customHeight="1">
      <c r="A148" s="199" t="s">
        <v>9</v>
      </c>
      <c r="B148" s="196">
        <f t="shared" si="1"/>
        <v>0</v>
      </c>
      <c r="C148" s="196"/>
      <c r="D148" s="196"/>
      <c r="E148" s="200"/>
      <c r="F148" s="201"/>
      <c r="G148" s="120"/>
      <c r="H148" s="120"/>
    </row>
    <row r="149" spans="1:8" s="30" customFormat="1" ht="32.25" customHeight="1">
      <c r="A149" s="195" t="s">
        <v>6</v>
      </c>
      <c r="B149" s="196">
        <f t="shared" si="1"/>
        <v>1623.0459999999998</v>
      </c>
      <c r="C149" s="196"/>
      <c r="D149" s="196"/>
      <c r="E149" s="196">
        <f>E150+E151</f>
        <v>858.293</v>
      </c>
      <c r="F149" s="197">
        <f>F150+F151</f>
        <v>764.7529999999999</v>
      </c>
      <c r="G149" s="120"/>
      <c r="H149" s="120"/>
    </row>
    <row r="150" spans="1:18" s="3" customFormat="1" ht="32.25" customHeight="1">
      <c r="A150" s="199" t="s">
        <v>10</v>
      </c>
      <c r="B150" s="196">
        <f t="shared" si="1"/>
        <v>770.6669999999999</v>
      </c>
      <c r="C150" s="196"/>
      <c r="D150" s="196"/>
      <c r="E150" s="196">
        <v>620.002</v>
      </c>
      <c r="F150" s="197">
        <v>150.665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18" s="3" customFormat="1" ht="32.25" customHeight="1">
      <c r="A151" s="199" t="s">
        <v>7</v>
      </c>
      <c r="B151" s="196">
        <f t="shared" si="1"/>
        <v>852.379</v>
      </c>
      <c r="C151" s="196">
        <f>C152+C153+C154</f>
        <v>0</v>
      </c>
      <c r="D151" s="196">
        <f>D152+D153+D154</f>
        <v>0</v>
      </c>
      <c r="E151" s="196">
        <f>E152+E153+E154</f>
        <v>238.29100000000003</v>
      </c>
      <c r="F151" s="197">
        <f>F152+F153+F154</f>
        <v>614.088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</row>
    <row r="152" spans="1:18" s="3" customFormat="1" ht="32.25" customHeight="1">
      <c r="A152" s="199" t="s">
        <v>8</v>
      </c>
      <c r="B152" s="196">
        <f t="shared" si="1"/>
        <v>623.2909999999999</v>
      </c>
      <c r="C152" s="196"/>
      <c r="D152" s="196"/>
      <c r="E152" s="200">
        <v>193.115</v>
      </c>
      <c r="F152" s="201">
        <v>430.176</v>
      </c>
      <c r="G152" s="60"/>
      <c r="H152" s="60"/>
      <c r="I152" s="54"/>
      <c r="J152" s="54"/>
      <c r="K152" s="54"/>
      <c r="L152" s="54"/>
      <c r="M152" s="54"/>
      <c r="N152" s="54"/>
      <c r="O152" s="54"/>
      <c r="P152" s="54"/>
      <c r="Q152" s="54"/>
      <c r="R152" s="54"/>
    </row>
    <row r="153" spans="1:18" s="3" customFormat="1" ht="32.25" customHeight="1">
      <c r="A153" s="199" t="s">
        <v>39</v>
      </c>
      <c r="B153" s="196">
        <f t="shared" si="1"/>
        <v>104.016</v>
      </c>
      <c r="C153" s="196"/>
      <c r="D153" s="196"/>
      <c r="E153" s="200">
        <v>43.49</v>
      </c>
      <c r="F153" s="201">
        <v>60.526</v>
      </c>
      <c r="G153" s="60"/>
      <c r="H153" s="60"/>
      <c r="I153" s="54"/>
      <c r="J153" s="54"/>
      <c r="K153" s="54"/>
      <c r="L153" s="54"/>
      <c r="M153" s="54"/>
      <c r="N153" s="54"/>
      <c r="O153" s="54"/>
      <c r="P153" s="54"/>
      <c r="Q153" s="54"/>
      <c r="R153" s="54"/>
    </row>
    <row r="154" spans="1:18" s="3" customFormat="1" ht="32.25" customHeight="1">
      <c r="A154" s="199" t="s">
        <v>9</v>
      </c>
      <c r="B154" s="196">
        <f t="shared" si="1"/>
        <v>125.072</v>
      </c>
      <c r="C154" s="196"/>
      <c r="D154" s="196"/>
      <c r="E154" s="200">
        <v>1.686</v>
      </c>
      <c r="F154" s="201">
        <v>123.386</v>
      </c>
      <c r="G154" s="60"/>
      <c r="H154" s="60"/>
      <c r="I154" s="54"/>
      <c r="J154" s="54"/>
      <c r="K154" s="54"/>
      <c r="L154" s="54"/>
      <c r="M154" s="54"/>
      <c r="N154" s="54"/>
      <c r="O154" s="54"/>
      <c r="P154" s="54"/>
      <c r="Q154" s="54"/>
      <c r="R154" s="54"/>
    </row>
    <row r="155" spans="1:18" s="3" customFormat="1" ht="32.25" customHeight="1">
      <c r="A155" s="195" t="s">
        <v>5</v>
      </c>
      <c r="B155" s="196">
        <f t="shared" si="1"/>
        <v>2827.531</v>
      </c>
      <c r="C155" s="196">
        <f>C156+C157+C159</f>
        <v>350.205</v>
      </c>
      <c r="D155" s="196"/>
      <c r="E155" s="196">
        <f>E156+E157+E159</f>
        <v>1459.438</v>
      </c>
      <c r="F155" s="197">
        <f>F156+F157+F159</f>
        <v>1017.8879999999999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</row>
    <row r="156" spans="1:18" s="3" customFormat="1" ht="32.25" customHeight="1">
      <c r="A156" s="199" t="s">
        <v>10</v>
      </c>
      <c r="B156" s="196">
        <f t="shared" si="1"/>
        <v>1316.541</v>
      </c>
      <c r="C156" s="196"/>
      <c r="D156" s="196"/>
      <c r="E156" s="196">
        <v>1099.289</v>
      </c>
      <c r="F156" s="197">
        <v>217.252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3" customFormat="1" ht="32.25" customHeight="1">
      <c r="A157" s="198" t="s">
        <v>50</v>
      </c>
      <c r="B157" s="196">
        <f t="shared" si="1"/>
        <v>350.205</v>
      </c>
      <c r="C157" s="232">
        <v>350.205</v>
      </c>
      <c r="D157" s="196"/>
      <c r="E157" s="196"/>
      <c r="F157" s="197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</row>
    <row r="158" spans="1:18" s="3" customFormat="1" ht="32.25" customHeight="1">
      <c r="A158" s="198" t="s">
        <v>26</v>
      </c>
      <c r="B158" s="203">
        <f t="shared" si="1"/>
        <v>0.539</v>
      </c>
      <c r="C158" s="232">
        <v>0.539</v>
      </c>
      <c r="D158" s="225"/>
      <c r="E158" s="225"/>
      <c r="F158" s="210"/>
      <c r="G158" s="60"/>
      <c r="H158" s="60"/>
      <c r="I158" s="54"/>
      <c r="J158" s="54"/>
      <c r="K158" s="54"/>
      <c r="L158" s="54"/>
      <c r="M158" s="54"/>
      <c r="N158" s="54"/>
      <c r="O158" s="54"/>
      <c r="P158" s="54"/>
      <c r="Q158" s="54"/>
      <c r="R158" s="54"/>
    </row>
    <row r="159" spans="1:18" s="3" customFormat="1" ht="32.25" customHeight="1">
      <c r="A159" s="199" t="s">
        <v>7</v>
      </c>
      <c r="B159" s="196">
        <f t="shared" si="1"/>
        <v>1160.7849999999999</v>
      </c>
      <c r="C159" s="196">
        <f>C160+C161+C162</f>
        <v>0</v>
      </c>
      <c r="D159" s="196">
        <f>D160+D161+D162</f>
        <v>0</v>
      </c>
      <c r="E159" s="196">
        <f>E160+E161+E162</f>
        <v>360.149</v>
      </c>
      <c r="F159" s="197">
        <f>F160+F161+F162</f>
        <v>800.636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</row>
    <row r="160" spans="1:18" s="4" customFormat="1" ht="32.25" customHeight="1">
      <c r="A160" s="199" t="s">
        <v>8</v>
      </c>
      <c r="B160" s="196">
        <f t="shared" si="1"/>
        <v>905.83</v>
      </c>
      <c r="C160" s="196"/>
      <c r="D160" s="196"/>
      <c r="E160" s="200">
        <v>242.744</v>
      </c>
      <c r="F160" s="201">
        <v>663.086</v>
      </c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1:18" s="23" customFormat="1" ht="32.25" customHeight="1">
      <c r="A161" s="199" t="s">
        <v>39</v>
      </c>
      <c r="B161" s="196">
        <f t="shared" si="1"/>
        <v>239.50900000000001</v>
      </c>
      <c r="C161" s="200"/>
      <c r="D161" s="200"/>
      <c r="E161" s="200">
        <v>101.959</v>
      </c>
      <c r="F161" s="201">
        <v>137.55</v>
      </c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24" customFormat="1" ht="32.25" customHeight="1">
      <c r="A162" s="199" t="s">
        <v>9</v>
      </c>
      <c r="B162" s="196">
        <f t="shared" si="1"/>
        <v>15.446</v>
      </c>
      <c r="C162" s="200"/>
      <c r="D162" s="200"/>
      <c r="E162" s="200">
        <v>15.446</v>
      </c>
      <c r="F162" s="201">
        <v>0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</row>
    <row r="163" spans="1:18" s="1" customFormat="1" ht="24.75" customHeight="1">
      <c r="A163" s="195" t="s">
        <v>17</v>
      </c>
      <c r="B163" s="196">
        <f t="shared" si="1"/>
        <v>5218.249</v>
      </c>
      <c r="C163" s="196"/>
      <c r="D163" s="196"/>
      <c r="E163" s="196">
        <f>E164+E165</f>
        <v>1023.918</v>
      </c>
      <c r="F163" s="197">
        <f>F164+F165</f>
        <v>4194.331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</row>
    <row r="164" spans="1:18" s="24" customFormat="1" ht="33" customHeight="1">
      <c r="A164" s="199" t="s">
        <v>10</v>
      </c>
      <c r="B164" s="196">
        <f t="shared" si="1"/>
        <v>2087.841</v>
      </c>
      <c r="C164" s="196"/>
      <c r="D164" s="196"/>
      <c r="E164" s="200">
        <v>988.909</v>
      </c>
      <c r="F164" s="201">
        <v>1098.932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" customFormat="1" ht="24.75" customHeight="1">
      <c r="A165" s="199" t="s">
        <v>7</v>
      </c>
      <c r="B165" s="196">
        <f t="shared" si="1"/>
        <v>3130.4080000000004</v>
      </c>
      <c r="C165" s="196">
        <f>C166+C167+C168</f>
        <v>0</v>
      </c>
      <c r="D165" s="196">
        <f>D166+D167+D168</f>
        <v>0</v>
      </c>
      <c r="E165" s="196">
        <f>E166+E167+E168</f>
        <v>35.009</v>
      </c>
      <c r="F165" s="197">
        <f>F166+F167+F168</f>
        <v>3095.3990000000003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24" customFormat="1" ht="24.75" customHeight="1">
      <c r="A166" s="199" t="s">
        <v>8</v>
      </c>
      <c r="B166" s="196">
        <f t="shared" si="1"/>
        <v>302.077</v>
      </c>
      <c r="C166" s="200"/>
      <c r="D166" s="196"/>
      <c r="E166" s="200">
        <v>15.134</v>
      </c>
      <c r="F166" s="201">
        <v>286.943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4" customFormat="1" ht="24.75" customHeight="1">
      <c r="A167" s="199" t="s">
        <v>39</v>
      </c>
      <c r="B167" s="196">
        <f>C167+D167+E167+F167</f>
        <v>0</v>
      </c>
      <c r="C167" s="200"/>
      <c r="D167" s="200"/>
      <c r="E167" s="200">
        <v>0</v>
      </c>
      <c r="F167" s="201">
        <v>0</v>
      </c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1:18" s="4" customFormat="1" ht="24.75" customHeight="1" thickBot="1">
      <c r="A168" s="211" t="s">
        <v>9</v>
      </c>
      <c r="B168" s="212">
        <f>C168+D168+E168+F168</f>
        <v>2828.331</v>
      </c>
      <c r="C168" s="213"/>
      <c r="D168" s="212"/>
      <c r="E168" s="213">
        <v>19.875</v>
      </c>
      <c r="F168" s="214">
        <v>2808.456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1:18" s="4" customFormat="1" ht="24.75" customHeight="1" thickBot="1">
      <c r="A169" s="233" t="s">
        <v>10</v>
      </c>
      <c r="B169" s="234">
        <f aca="true" t="shared" si="2" ref="B169:B183">C169+D169+E169+F169</f>
        <v>77127.714</v>
      </c>
      <c r="C169" s="235">
        <f>C170+C171+C175</f>
        <v>40232.817</v>
      </c>
      <c r="D169" s="235">
        <f>D170+D171+D175</f>
        <v>958.0830000000001</v>
      </c>
      <c r="E169" s="235">
        <f>E170+E171+E175</f>
        <v>25109.913000000004</v>
      </c>
      <c r="F169" s="236">
        <f>F170+F171+F175</f>
        <v>10826.901000000002</v>
      </c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1:18" s="4" customFormat="1" ht="24.75" customHeight="1">
      <c r="A170" s="215" t="s">
        <v>40</v>
      </c>
      <c r="B170" s="216">
        <f t="shared" si="2"/>
        <v>55821.605</v>
      </c>
      <c r="C170" s="217">
        <f>C9+C24+C32+C40+C48+C56+C62+C68+C76+C84+C90+C98+C106+C112+C118+C126+C132+C138+C144+C150+C156+C164</f>
        <v>22849.647999999997</v>
      </c>
      <c r="D170" s="217">
        <f>D9+D24+D32+D40+D48+D56+D62+D68+D76+D84+D90+D98+D106+D112+D118+D126+D132+D138+D144+D150+D156+D164</f>
        <v>795.961</v>
      </c>
      <c r="E170" s="217">
        <f>E9+E24+E32+E40+E48+E56+E62+E68+E76+E84+E90+E98+E106+E112+E118+E126+E132+E138+E144+E150+E156+E164</f>
        <v>21436.800000000003</v>
      </c>
      <c r="F170" s="218">
        <f>F9+F24+F32+F40+F48+F56+F62+F68+F76+F84+F90+F98+F106+F112+F118+F126+F132+F138+F144+F150+F156+F164</f>
        <v>10739.196000000002</v>
      </c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1:18" s="4" customFormat="1" ht="24.75" customHeight="1">
      <c r="A171" s="215" t="s">
        <v>42</v>
      </c>
      <c r="B171" s="237">
        <f t="shared" si="2"/>
        <v>20100.671000000002</v>
      </c>
      <c r="C171" s="196">
        <f aca="true" t="shared" si="3" ref="C171:F172">C10+C25+C33+C41+C49+C77+C69+C99+C91+C119+C157</f>
        <v>16177.731</v>
      </c>
      <c r="D171" s="196">
        <f t="shared" si="3"/>
        <v>162.122</v>
      </c>
      <c r="E171" s="196">
        <f t="shared" si="3"/>
        <v>3673.113</v>
      </c>
      <c r="F171" s="197">
        <f t="shared" si="3"/>
        <v>87.705</v>
      </c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1:18" s="4" customFormat="1" ht="24.75" customHeight="1">
      <c r="A172" s="215" t="s">
        <v>41</v>
      </c>
      <c r="B172" s="237">
        <f t="shared" si="2"/>
        <v>36.933</v>
      </c>
      <c r="C172" s="196">
        <f t="shared" si="3"/>
        <v>28.210000000000004</v>
      </c>
      <c r="D172" s="196">
        <f t="shared" si="3"/>
        <v>0.554</v>
      </c>
      <c r="E172" s="196">
        <f t="shared" si="3"/>
        <v>8.024999999999999</v>
      </c>
      <c r="F172" s="197">
        <f t="shared" si="3"/>
        <v>0.14400000000000002</v>
      </c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1:18" s="4" customFormat="1" ht="27.75" customHeight="1">
      <c r="A173" s="199" t="s">
        <v>45</v>
      </c>
      <c r="B173" s="237">
        <f t="shared" si="2"/>
        <v>2178.962</v>
      </c>
      <c r="C173" s="196">
        <f>C16</f>
        <v>2178.962</v>
      </c>
      <c r="D173" s="196">
        <f>D16</f>
        <v>0</v>
      </c>
      <c r="E173" s="196">
        <f>E16</f>
        <v>0</v>
      </c>
      <c r="F173" s="197">
        <f>F16</f>
        <v>0</v>
      </c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1:18" s="4" customFormat="1" ht="27.75" customHeight="1">
      <c r="A174" s="215" t="s">
        <v>46</v>
      </c>
      <c r="B174" s="237">
        <f t="shared" si="2"/>
        <v>4.916</v>
      </c>
      <c r="C174" s="196">
        <f>C18</f>
        <v>4.916</v>
      </c>
      <c r="D174" s="196">
        <f>D18</f>
        <v>0</v>
      </c>
      <c r="E174" s="196">
        <f>E18</f>
        <v>0</v>
      </c>
      <c r="F174" s="197">
        <f>F18</f>
        <v>0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1:18" s="4" customFormat="1" ht="23.25">
      <c r="A175" s="238" t="s">
        <v>22</v>
      </c>
      <c r="B175" s="237">
        <f t="shared" si="2"/>
        <v>1205.438</v>
      </c>
      <c r="C175" s="196">
        <f>C7</f>
        <v>1205.438</v>
      </c>
      <c r="D175" s="196"/>
      <c r="E175" s="196"/>
      <c r="F175" s="197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1:18" s="22" customFormat="1" ht="26.25" customHeight="1" thickBot="1">
      <c r="A176" s="238" t="s">
        <v>23</v>
      </c>
      <c r="B176" s="239">
        <f t="shared" si="2"/>
        <v>4.341</v>
      </c>
      <c r="C176" s="212">
        <f>C8</f>
        <v>4.341</v>
      </c>
      <c r="D176" s="212"/>
      <c r="E176" s="212"/>
      <c r="F176" s="240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1:18" s="22" customFormat="1" ht="26.25" customHeight="1" thickBot="1">
      <c r="A177" s="233" t="s">
        <v>11</v>
      </c>
      <c r="B177" s="241">
        <f t="shared" si="2"/>
        <v>26378.059</v>
      </c>
      <c r="C177" s="242">
        <f>C178+C179+C180</f>
        <v>121.49999999999999</v>
      </c>
      <c r="D177" s="242">
        <f>D178+D179+D180</f>
        <v>1.54</v>
      </c>
      <c r="E177" s="242">
        <f>E178+E179+E180</f>
        <v>1922.344</v>
      </c>
      <c r="F177" s="243">
        <f>F178+F179+F180</f>
        <v>24332.675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1:18" s="22" customFormat="1" ht="26.25" customHeight="1">
      <c r="A178" s="244" t="s">
        <v>8</v>
      </c>
      <c r="B178" s="216">
        <f t="shared" si="2"/>
        <v>10994.384999999997</v>
      </c>
      <c r="C178" s="217">
        <f aca="true" t="shared" si="4" ref="C178:F180">C13+C20+C28+C36+C44+C52+C58+C64+C72+C80+C86+C94+C102+C108+C114+C122+C128+C134+C140+C146+C152+C160+C166</f>
        <v>104.30999999999999</v>
      </c>
      <c r="D178" s="217">
        <f t="shared" si="4"/>
        <v>0</v>
      </c>
      <c r="E178" s="217">
        <f t="shared" si="4"/>
        <v>1275.82</v>
      </c>
      <c r="F178" s="218">
        <f t="shared" si="4"/>
        <v>9614.254999999997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1:18" s="4" customFormat="1" ht="23.25">
      <c r="A179" s="245" t="s">
        <v>39</v>
      </c>
      <c r="B179" s="237">
        <f>C179+D179+E179+F179</f>
        <v>417.29200000000003</v>
      </c>
      <c r="C179" s="196">
        <f t="shared" si="4"/>
        <v>0</v>
      </c>
      <c r="D179" s="196">
        <f t="shared" si="4"/>
        <v>0</v>
      </c>
      <c r="E179" s="196">
        <f t="shared" si="4"/>
        <v>145.449</v>
      </c>
      <c r="F179" s="197">
        <f t="shared" si="4"/>
        <v>271.843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1:18" s="4" customFormat="1" ht="24" thickBot="1">
      <c r="A180" s="246" t="s">
        <v>9</v>
      </c>
      <c r="B180" s="239">
        <f>C180+D180+E180+F180</f>
        <v>14966.382000000001</v>
      </c>
      <c r="C180" s="212">
        <f>C15+C22+C30+C38+C46+C54+C60+C66+C74+C82+C88+C96+C104+C110+C116+C124+C130+C136+C142+C148+C154+C162+C168</f>
        <v>17.19</v>
      </c>
      <c r="D180" s="212">
        <f t="shared" si="4"/>
        <v>1.54</v>
      </c>
      <c r="E180" s="212">
        <f t="shared" si="4"/>
        <v>501.075</v>
      </c>
      <c r="F180" s="240">
        <f t="shared" si="4"/>
        <v>14446.577000000001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1:18" s="4" customFormat="1" ht="24" thickBot="1">
      <c r="A181" s="247" t="s">
        <v>28</v>
      </c>
      <c r="B181" s="248">
        <f t="shared" si="2"/>
        <v>46.190000000000005</v>
      </c>
      <c r="C181" s="249">
        <f>C182+C183</f>
        <v>37.467000000000006</v>
      </c>
      <c r="D181" s="249">
        <f>D182+D183</f>
        <v>0.554</v>
      </c>
      <c r="E181" s="249">
        <f>E182+E183</f>
        <v>8.024999999999999</v>
      </c>
      <c r="F181" s="250">
        <f>F182+F183</f>
        <v>0.14400000000000002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1:18" s="4" customFormat="1" ht="23.25">
      <c r="A182" s="251" t="s">
        <v>29</v>
      </c>
      <c r="B182" s="216">
        <f t="shared" si="2"/>
        <v>41.849000000000004</v>
      </c>
      <c r="C182" s="217">
        <f>C11+C18+C26+C34+C42+C50+C78+C70+C92+C100+C120+C158</f>
        <v>33.126000000000005</v>
      </c>
      <c r="D182" s="217">
        <f>D11+D18+D26+D34+D42+D50+D78+D70+D92+D100+D120+D158</f>
        <v>0.554</v>
      </c>
      <c r="E182" s="217">
        <f>E11+E18+E26+E34+E42+E50+E78+E70+E92+E100+E120+E158</f>
        <v>8.024999999999999</v>
      </c>
      <c r="F182" s="218">
        <f>F11+F18+F26+F34+F42+F50+F78+F70+F92+F100+F120+F158</f>
        <v>0.14400000000000002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1:18" s="4" customFormat="1" ht="24" thickBot="1">
      <c r="A183" s="252" t="s">
        <v>37</v>
      </c>
      <c r="B183" s="239">
        <f t="shared" si="2"/>
        <v>4.341</v>
      </c>
      <c r="C183" s="212">
        <f>C8</f>
        <v>4.341</v>
      </c>
      <c r="D183" s="212">
        <f>D8</f>
        <v>0</v>
      </c>
      <c r="E183" s="212">
        <f>E8</f>
        <v>0</v>
      </c>
      <c r="F183" s="240">
        <f>F8</f>
        <v>0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1:18" s="4" customFormat="1" ht="24" thickBot="1">
      <c r="A184" s="253"/>
      <c r="B184" s="254"/>
      <c r="C184" s="254"/>
      <c r="D184" s="254"/>
      <c r="E184" s="254"/>
      <c r="F184" s="2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1:18" s="4" customFormat="1" ht="24" thickBot="1">
      <c r="A185" s="255" t="s">
        <v>51</v>
      </c>
      <c r="B185" s="248">
        <f>C185+D185+E185+F185</f>
        <v>66958.644</v>
      </c>
      <c r="C185" s="250">
        <f>C5</f>
        <v>25077.829</v>
      </c>
      <c r="D185" s="250">
        <f>D5</f>
        <v>944.8340000000001</v>
      </c>
      <c r="E185" s="250">
        <f>E5</f>
        <v>18432.438000000002</v>
      </c>
      <c r="F185" s="250">
        <f>F5</f>
        <v>22503.542999999998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1:18" s="4" customFormat="1" ht="24" thickBot="1">
      <c r="A186" s="255" t="s">
        <v>53</v>
      </c>
      <c r="B186" s="248">
        <f>C186+D186+E186+F186</f>
        <v>2178.962</v>
      </c>
      <c r="C186" s="236">
        <f>C16</f>
        <v>2178.962</v>
      </c>
      <c r="D186" s="236">
        <f>D16</f>
        <v>0</v>
      </c>
      <c r="E186" s="236">
        <f>E16</f>
        <v>0</v>
      </c>
      <c r="F186" s="236">
        <f>F16</f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1:18" s="4" customFormat="1" ht="24" thickBot="1">
      <c r="A187" s="255" t="s">
        <v>52</v>
      </c>
      <c r="B187" s="248">
        <f>C187+D187+E187+F187</f>
        <v>36547.129</v>
      </c>
      <c r="C187" s="236">
        <f>C23+C31+C39+C47+C55+C61+C67+C75+C83+C89+C97+C105+C111+C117+C125+C131+C137+C143+C149+C155+C163</f>
        <v>15276.488000000001</v>
      </c>
      <c r="D187" s="236">
        <f>D23+D31+D39+D47+D55+D61+D67+D75+D83+D89+D97+D105+D111+D117+D125+D131+D137+D143+D149+D155+D163</f>
        <v>14.789</v>
      </c>
      <c r="E187" s="236">
        <f>E23+E31+E39+E47+E55+E61+E67+E75+E83+E89+E97+E105+E111+E117+E125+E131+E137+E143+E149+E155+E163</f>
        <v>8599.819</v>
      </c>
      <c r="F187" s="236">
        <f>F23+F31+F39+F47+F55+F61+F67+F75+F83+F89+F97+F105+F111+F117+F125+F131+F137+F143+F149+F155+F163</f>
        <v>12656.033</v>
      </c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1:18" s="4" customFormat="1" ht="24" thickBot="1">
      <c r="A188" s="253"/>
      <c r="B188" s="256">
        <f>C188+D188+E188+F188</f>
        <v>105684.735</v>
      </c>
      <c r="C188" s="248">
        <f>SUM(C185:C187)</f>
        <v>42533.279</v>
      </c>
      <c r="D188" s="248">
        <f>SUM(D185:D187)</f>
        <v>959.623</v>
      </c>
      <c r="E188" s="248">
        <f>SUM(E185:E187)</f>
        <v>27032.257</v>
      </c>
      <c r="F188" s="248">
        <f>SUM(F185:F187)</f>
        <v>35159.576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1:18" s="4" customFormat="1" ht="23.25">
      <c r="A189" s="253"/>
      <c r="B189" s="254">
        <f>B188-B191</f>
        <v>0</v>
      </c>
      <c r="C189" s="254">
        <f>C188-C191</f>
        <v>0</v>
      </c>
      <c r="D189" s="254">
        <f>D188-D191</f>
        <v>0</v>
      </c>
      <c r="E189" s="254">
        <f>E188-E191</f>
        <v>0</v>
      </c>
      <c r="F189" s="254">
        <f>F188-F191</f>
        <v>0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1:18" s="4" customFormat="1" ht="24" thickBot="1">
      <c r="A190" s="253"/>
      <c r="B190" s="254"/>
      <c r="C190" s="254"/>
      <c r="D190" s="254"/>
      <c r="E190" s="254"/>
      <c r="F190" s="2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1:18" s="4" customFormat="1" ht="24" thickBot="1">
      <c r="A191" s="255" t="s">
        <v>67</v>
      </c>
      <c r="B191" s="248">
        <f>C191+D191+E191+F191</f>
        <v>105684.735</v>
      </c>
      <c r="C191" s="250">
        <f>C5+C16+C23+C31+C39+C47+C55+C61+C67+C75+C83+C89+C97+C105+C111+C117+C125+C131+C137+C143+C149+C155+C163</f>
        <v>42533.279</v>
      </c>
      <c r="D191" s="250">
        <f>D5+D16+D23+D31+D39+D47+D55+D61+D67+D75+D83+D89+D97+D105+D111+D117+D125+D131+D137+D143+D149+D155+D163</f>
        <v>959.623</v>
      </c>
      <c r="E191" s="250">
        <f>E5+E16+E23+E31+E39+E47+E55+E61+E67+E75+E83+E89+E97+E105+E111+E117+E125+E131+E137+E143+E149+E155+E163</f>
        <v>27032.257</v>
      </c>
      <c r="F191" s="250">
        <f>F5+F16+F23+F31+F39+F47+F55+F61+F67+F75+F83+F89+F97+F105+F111+F117+F125+F131+F137+F143+F149+F155+F163</f>
        <v>35159.576</v>
      </c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1:18" s="4" customFormat="1" ht="23.25">
      <c r="A192" s="172"/>
      <c r="B192" s="172"/>
      <c r="C192" s="172"/>
      <c r="D192" s="172"/>
      <c r="E192" s="172"/>
      <c r="F192" s="172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1:18" s="4" customFormat="1" ht="23.25">
      <c r="A193" s="172"/>
      <c r="B193" s="172"/>
      <c r="C193" s="172"/>
      <c r="D193" s="172"/>
      <c r="E193" s="172"/>
      <c r="F193" s="172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1:18" s="4" customFormat="1" ht="23.25">
      <c r="A194" s="172"/>
      <c r="B194" s="172"/>
      <c r="C194" s="172"/>
      <c r="D194" s="172"/>
      <c r="E194" s="172"/>
      <c r="F194" s="172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1:18" s="4" customFormat="1" ht="23.25">
      <c r="A195" s="172"/>
      <c r="B195" s="172"/>
      <c r="C195" s="172"/>
      <c r="D195" s="172"/>
      <c r="E195" s="172"/>
      <c r="F195" s="172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1:18" s="4" customFormat="1" ht="23.25">
      <c r="A196" s="172"/>
      <c r="B196" s="172"/>
      <c r="C196" s="172"/>
      <c r="D196" s="172"/>
      <c r="E196" s="172"/>
      <c r="F196" s="172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1:18" s="4" customFormat="1" ht="23.25">
      <c r="A197" s="172"/>
      <c r="B197" s="172"/>
      <c r="C197" s="172"/>
      <c r="D197" s="172"/>
      <c r="E197" s="172"/>
      <c r="F197" s="172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1:18" s="4" customFormat="1" ht="23.25">
      <c r="A198" s="172"/>
      <c r="B198" s="172"/>
      <c r="C198" s="172"/>
      <c r="D198" s="172"/>
      <c r="E198" s="172"/>
      <c r="F198" s="172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1:18" s="4" customFormat="1" ht="23.25">
      <c r="A199" s="172"/>
      <c r="B199" s="172"/>
      <c r="C199" s="172"/>
      <c r="D199" s="172"/>
      <c r="E199" s="172"/>
      <c r="F199" s="172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1:18" s="4" customFormat="1" ht="23.25">
      <c r="A200" s="172"/>
      <c r="B200" s="172"/>
      <c r="C200" s="172"/>
      <c r="D200" s="172"/>
      <c r="E200" s="172"/>
      <c r="F200" s="172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1:18" s="4" customFormat="1" ht="23.25">
      <c r="A201" s="172"/>
      <c r="B201" s="172"/>
      <c r="C201" s="172"/>
      <c r="D201" s="172"/>
      <c r="E201" s="172"/>
      <c r="F201" s="172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1:18" s="4" customFormat="1" ht="23.25">
      <c r="A202" s="172"/>
      <c r="B202" s="172"/>
      <c r="C202" s="172"/>
      <c r="D202" s="172"/>
      <c r="E202" s="172"/>
      <c r="F202" s="172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1:18" s="4" customFormat="1" ht="23.25">
      <c r="A203" s="172"/>
      <c r="B203" s="172"/>
      <c r="C203" s="172"/>
      <c r="D203" s="172"/>
      <c r="E203" s="172"/>
      <c r="F203" s="172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1:18" s="4" customFormat="1" ht="23.25">
      <c r="A204" s="172"/>
      <c r="B204" s="172"/>
      <c r="C204" s="172"/>
      <c r="D204" s="172"/>
      <c r="E204" s="172"/>
      <c r="F204" s="172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1:18" s="4" customFormat="1" ht="23.25">
      <c r="A205" s="172"/>
      <c r="B205" s="172"/>
      <c r="C205" s="172"/>
      <c r="D205" s="172"/>
      <c r="E205" s="172"/>
      <c r="F205" s="172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1:18" s="4" customFormat="1" ht="23.25">
      <c r="A206" s="172"/>
      <c r="B206" s="172"/>
      <c r="C206" s="172"/>
      <c r="D206" s="172"/>
      <c r="E206" s="172"/>
      <c r="F206" s="172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1:18" s="4" customFormat="1" ht="23.25">
      <c r="A207" s="172"/>
      <c r="B207" s="172"/>
      <c r="C207" s="172"/>
      <c r="D207" s="172"/>
      <c r="E207" s="172"/>
      <c r="F207" s="172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1:18" s="4" customFormat="1" ht="23.25">
      <c r="A208" s="172"/>
      <c r="B208" s="172"/>
      <c r="C208" s="172"/>
      <c r="D208" s="172"/>
      <c r="E208" s="172"/>
      <c r="F208" s="172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8" s="4" customFormat="1" ht="23.25">
      <c r="A209" s="172"/>
      <c r="B209" s="172"/>
      <c r="C209" s="172"/>
      <c r="D209" s="172"/>
      <c r="E209" s="172"/>
      <c r="F209" s="172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1:18" s="4" customFormat="1" ht="23.25">
      <c r="A210" s="172"/>
      <c r="B210" s="172"/>
      <c r="C210" s="172"/>
      <c r="D210" s="172"/>
      <c r="E210" s="172"/>
      <c r="F210" s="172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1:18" s="4" customFormat="1" ht="23.25">
      <c r="A211" s="172"/>
      <c r="B211" s="172"/>
      <c r="C211" s="172"/>
      <c r="D211" s="172"/>
      <c r="E211" s="172"/>
      <c r="F211" s="17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esorrfni</dc:creator>
  <cp:keywords/>
  <dc:description/>
  <cp:lastModifiedBy>Токарева</cp:lastModifiedBy>
  <cp:lastPrinted>2015-01-28T14:47:53Z</cp:lastPrinted>
  <dcterms:created xsi:type="dcterms:W3CDTF">2007-02-15T08:39:45Z</dcterms:created>
  <dcterms:modified xsi:type="dcterms:W3CDTF">2016-01-11T11:49:52Z</dcterms:modified>
  <cp:category/>
  <cp:version/>
  <cp:contentType/>
  <cp:contentStatus/>
</cp:coreProperties>
</file>