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tabRatio="304" activeTab="0"/>
  </bookViews>
  <sheets>
    <sheet name="ГКПЗ_20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'ГКПЗ_2011'!$A$1:$M$217</definedName>
  </definedNames>
  <calcPr fullCalcOnLoad="1"/>
</workbook>
</file>

<file path=xl/sharedStrings.xml><?xml version="1.0" encoding="utf-8"?>
<sst xmlns="http://schemas.openxmlformats.org/spreadsheetml/2006/main" count="992" uniqueCount="288">
  <si>
    <t>Приложение № 4</t>
  </si>
  <si>
    <t>ОАО «Мордовская энергосбытовая компания»</t>
  </si>
  <si>
    <t>Номер закупки</t>
  </si>
  <si>
    <t>Номер лота</t>
  </si>
  <si>
    <t>Планируемый способ закупки</t>
  </si>
  <si>
    <t xml:space="preserve">Источник финансирования </t>
  </si>
  <si>
    <t>Комментарий</t>
  </si>
  <si>
    <t>Себестоимость</t>
  </si>
  <si>
    <t>ОАО «МЭСК»</t>
  </si>
  <si>
    <t>Прочие здания</t>
  </si>
  <si>
    <t>Нерегламентированные закупки</t>
  </si>
  <si>
    <t>Автошины</t>
  </si>
  <si>
    <t>Амортизация</t>
  </si>
  <si>
    <t>Др.оборудование, з/части и материалы</t>
  </si>
  <si>
    <t>Единственный источник</t>
  </si>
  <si>
    <t>ГСМ</t>
  </si>
  <si>
    <t xml:space="preserve">Продукция адм- хоз. назначения </t>
  </si>
  <si>
    <t>Канцелярские товары</t>
  </si>
  <si>
    <t>Материалы и запчасти для оргтехники</t>
  </si>
  <si>
    <t>Спецодежда и обувь</t>
  </si>
  <si>
    <t>Оборудование связи (тел. аппараты, факсы)</t>
  </si>
  <si>
    <t>Хозинвентарь</t>
  </si>
  <si>
    <t>Моющие средства</t>
  </si>
  <si>
    <t>Расходы на охрану труда</t>
  </si>
  <si>
    <t>Прочие услуги</t>
  </si>
  <si>
    <t>Услуги аудиторской фирмы</t>
  </si>
  <si>
    <t>Почтово- телеграфные расходы</t>
  </si>
  <si>
    <t>Услуги по обслуживанию оргтехники</t>
  </si>
  <si>
    <t>Техобслуживание автотранспорта</t>
  </si>
  <si>
    <t>Аренда помещений  г.Краснослободск</t>
  </si>
  <si>
    <t>Аренда помещений  п. Явас</t>
  </si>
  <si>
    <t>Аренда помещений  п. Ичалки</t>
  </si>
  <si>
    <t>Аренда помещений с. Б-Игнатово</t>
  </si>
  <si>
    <t>Аренда помещений п. Ромоданово</t>
  </si>
  <si>
    <t>Вывоз бытовых отходов</t>
  </si>
  <si>
    <t>Типографские расходы</t>
  </si>
  <si>
    <t>Мебель офисная</t>
  </si>
  <si>
    <t>Вычислительная техника и вычислительные сети</t>
  </si>
  <si>
    <t>Аренда помещений с. Атюрьево</t>
  </si>
  <si>
    <t>Прибыль</t>
  </si>
  <si>
    <t>Бензин автомобильный для Центрального отделения</t>
  </si>
  <si>
    <t>Бензин автомобильный для Ковылкинского межрайонного отделения</t>
  </si>
  <si>
    <t>Бензин автомобильный для Комсомольского межрайонного отделения</t>
  </si>
  <si>
    <t>Услуги по охране объектов, находящихся на территории МФ ОАО "ТГК-6"</t>
  </si>
  <si>
    <t>Подготовка кадров</t>
  </si>
  <si>
    <t>Расходы связанные с проведением годового собрания акционеров</t>
  </si>
  <si>
    <t>Расходы по услугам охраны объектов (видеонаблюдение)</t>
  </si>
  <si>
    <t>Материалы на содержание зданий и инвентаря</t>
  </si>
  <si>
    <t>Материалы по технике безопасности</t>
  </si>
  <si>
    <t xml:space="preserve">Услуги по обслуживанию СПС "ГАРАНТ"                            </t>
  </si>
  <si>
    <t>%</t>
  </si>
  <si>
    <t>Услуги по страхованию от несчастных случаев и болезней</t>
  </si>
  <si>
    <t>Аренда помещений г.Ковылкино</t>
  </si>
  <si>
    <t>Аренда помещений г.Рузаевка</t>
  </si>
  <si>
    <t>Аренда гаража для Лямбирской РС</t>
  </si>
  <si>
    <t>Автотранспорт</t>
  </si>
  <si>
    <t>Электрические счетчики</t>
  </si>
  <si>
    <t>Консультационные услуги</t>
  </si>
  <si>
    <t>Услуги ЧОП с. Лямбирь</t>
  </si>
  <si>
    <t xml:space="preserve">Нерегламентированные закупки                        </t>
  </si>
  <si>
    <t>Услуги по страхованию транспортных средств (КАСКО и ОСАГО)</t>
  </si>
  <si>
    <t>1 квартал</t>
  </si>
  <si>
    <t>Регламент</t>
  </si>
  <si>
    <t>2 квартал</t>
  </si>
  <si>
    <t>Услуги по страхованию имущества</t>
  </si>
  <si>
    <t xml:space="preserve">Запчасти для автотранспорта  (ГАЗ) </t>
  </si>
  <si>
    <t>Запчасти для автотранспорта  (ВАЗ)</t>
  </si>
  <si>
    <t>Запчасти для автотранспорта  (УАЗ)</t>
  </si>
  <si>
    <t>Запчасти для автотранспорта  (иномарки)</t>
  </si>
  <si>
    <t xml:space="preserve">Утверждено </t>
  </si>
  <si>
    <t xml:space="preserve"> к  Положению о порядке проведения регламентированных закупок товаров, работ, услуг для нужд</t>
  </si>
  <si>
    <t>решением Совета директоров</t>
  </si>
  <si>
    <t>№ ___ от "___" __________ 2010 г</t>
  </si>
  <si>
    <t>"____" _________________ 2011 г.</t>
  </si>
  <si>
    <t xml:space="preserve">ГОДОВАЯ КОМПЛЕКСНАЯ ПРОГРАММА ЗАКУПОК МТС И УСЛУГ  ОАО "МОРДОВСКАЯ ЭНЕРГОСБЫТОВАЯ КОМПАНИЯ" НА 2011 год </t>
  </si>
  <si>
    <t>Наименование закупаемой продукции</t>
  </si>
  <si>
    <t>Дата   начала поставки товаров, выполнения работ, услуг (месяц/год)</t>
  </si>
  <si>
    <t>Дата  окончания поставки товаров, выполнения работ, услуг (месяц/год)</t>
  </si>
  <si>
    <t>Подразделение потребитель продукции</t>
  </si>
  <si>
    <t>Статья затрат                           Бизнес-Плана</t>
  </si>
  <si>
    <t>Служба механизации и автотранспорта</t>
  </si>
  <si>
    <t>Ремонт помещений Рузаевской РС</t>
  </si>
  <si>
    <t>Центральное отделение</t>
  </si>
  <si>
    <t>Ремонт здания гаража Комсомольского МО</t>
  </si>
  <si>
    <t xml:space="preserve">Ремонт помещений Ковылкинского МО                                   </t>
  </si>
  <si>
    <t xml:space="preserve">Ковылкинское МО         </t>
  </si>
  <si>
    <t xml:space="preserve"> Комсомольское МО</t>
  </si>
  <si>
    <t xml:space="preserve">Ремонт помещений Торбеевской РС                          </t>
  </si>
  <si>
    <t xml:space="preserve">Ремонт помещений Инсарской РС                                   </t>
  </si>
  <si>
    <t>Ремонт помещений Зубово-Полянской РС</t>
  </si>
  <si>
    <t>Ремонт части здания производственной базы         ул. Большевистская 117б</t>
  </si>
  <si>
    <t>Комсомольское МО</t>
  </si>
  <si>
    <t>2.4.8.6</t>
  </si>
  <si>
    <t>2.4.4.2</t>
  </si>
  <si>
    <t>2.4.4.3</t>
  </si>
  <si>
    <t>2.4.8.3</t>
  </si>
  <si>
    <t>2.4.8.5</t>
  </si>
  <si>
    <t>2.4.8.2</t>
  </si>
  <si>
    <t xml:space="preserve">Аренда гаража для Центрального отделения </t>
  </si>
  <si>
    <t>2.4.11.7.2</t>
  </si>
  <si>
    <t>2.4.8.13.2</t>
  </si>
  <si>
    <t xml:space="preserve">Техобслуживание кассовых аппаратов                                 Комсомольского межрайонного отделениия                                 </t>
  </si>
  <si>
    <t>Техобслуживание кассовых аппаратов                                    Краснслободского межрайонного отделениия</t>
  </si>
  <si>
    <t xml:space="preserve">Техобслуживание кассовых аппаратов  Ковылкинского  межрайонного отделениия                                   </t>
  </si>
  <si>
    <t xml:space="preserve">Техобслуживание кассовых аппаратов       Саранского межрайонного отделениия                                  </t>
  </si>
  <si>
    <t>2.4.8.13..3</t>
  </si>
  <si>
    <t>2.4.8.13.4</t>
  </si>
  <si>
    <t>Техобслуживание автотранспорта (иномарки)</t>
  </si>
  <si>
    <t>2.4.8.13.6</t>
  </si>
  <si>
    <t>2.4.8.10</t>
  </si>
  <si>
    <t>Саранское межрайонное отделение</t>
  </si>
  <si>
    <t>Краснслободское межрайонное отделение</t>
  </si>
  <si>
    <t xml:space="preserve">Ковылкинское межрайонное отделение </t>
  </si>
  <si>
    <t>Комсомольское межрайонное отделение</t>
  </si>
  <si>
    <t>Услуги по использованию сети "Интернет"  (услуги сети и организация каналов связи до районных служб)</t>
  </si>
  <si>
    <t>2.4.8.12</t>
  </si>
  <si>
    <t>Дата  официального объявления о начале процедур (месяц/год)</t>
  </si>
  <si>
    <t>2.4.11.7.3</t>
  </si>
  <si>
    <t>2.4.11.7.1</t>
  </si>
  <si>
    <t>Офисная бумага А4 "Снегурочка"</t>
  </si>
  <si>
    <t>2.4.8.13.1</t>
  </si>
  <si>
    <t>2.4.7.2.1</t>
  </si>
  <si>
    <t>Оборудование для энергоаудита</t>
  </si>
  <si>
    <t>Резак сабельный</t>
  </si>
  <si>
    <t>Снегоуборочная машина (мотоблок)</t>
  </si>
  <si>
    <t>1.1.1..7</t>
  </si>
  <si>
    <t>2.4.7.1</t>
  </si>
  <si>
    <t>Учрежденческая АТС</t>
  </si>
  <si>
    <t>1.1.1.8</t>
  </si>
  <si>
    <t>1.1.1.1</t>
  </si>
  <si>
    <t>АИИСКУЭ розничного рынка</t>
  </si>
  <si>
    <t>1.1.1.9</t>
  </si>
  <si>
    <t>1.1.1.11</t>
  </si>
  <si>
    <t>1.1.2.3</t>
  </si>
  <si>
    <t xml:space="preserve">Строительство административного здания Краснослободского МО и Краснослободской РС                                                                        </t>
  </si>
  <si>
    <t xml:space="preserve">Строительство гаража                                        Краснслободского МО и Краснслоободской РС                                                                        </t>
  </si>
  <si>
    <t>1.1.2.4</t>
  </si>
  <si>
    <t>1.1.2.5</t>
  </si>
  <si>
    <t>1.1.2.6</t>
  </si>
  <si>
    <t>1.1.2.7</t>
  </si>
  <si>
    <t>1.1.2.8</t>
  </si>
  <si>
    <t>Теплоэнергия на хозяйственные нужды</t>
  </si>
  <si>
    <t>2.4..6</t>
  </si>
  <si>
    <t>Коммунальное хозяйство</t>
  </si>
  <si>
    <t>2.4.8.8</t>
  </si>
  <si>
    <t>2.4.4.5</t>
  </si>
  <si>
    <t>Контрольно-кассовые машины (ККМ)</t>
  </si>
  <si>
    <t>Инструменты для проверки и установки приборов учета</t>
  </si>
  <si>
    <t>Электротовары и электроинструменты</t>
  </si>
  <si>
    <t>Подписка и приобретение литературы</t>
  </si>
  <si>
    <t>2.4.11.3</t>
  </si>
  <si>
    <t>Разработка проектно-сметной документации для проведения плановых ремонтов</t>
  </si>
  <si>
    <t>Услуги по монтажу и демонтажу охранно-пожарной сигнализации</t>
  </si>
  <si>
    <t>Услуги по ремонту автортранспорта (ВАЗ)</t>
  </si>
  <si>
    <t>Услуги по ремонту автортранспорта (ГАЗ)</t>
  </si>
  <si>
    <t>Услуги по ремонту автортранспорта (УАЗ)</t>
  </si>
  <si>
    <t>Услуги по ремонту автотранспорта (иномарки)</t>
  </si>
  <si>
    <t>2.4.4.4</t>
  </si>
  <si>
    <t>2.4.11.7.8</t>
  </si>
  <si>
    <t>2.4.8.7</t>
  </si>
  <si>
    <t xml:space="preserve">Счетчик электрической энергии однофазный </t>
  </si>
  <si>
    <t>2.4.11.6</t>
  </si>
  <si>
    <t>2.4.10.2</t>
  </si>
  <si>
    <t>Утверждено</t>
  </si>
  <si>
    <t>№__________ от "__"_________20___г.</t>
  </si>
  <si>
    <t>Планируемая  цена лота, .руб. без НДС</t>
  </si>
  <si>
    <t>Реклама</t>
  </si>
  <si>
    <t>2.4.8.11</t>
  </si>
  <si>
    <t>2.4.11.4</t>
  </si>
  <si>
    <t xml:space="preserve">До 30.05.2011 г. пороговое значение для проведения регламентированных процедур в Обществе составляло-500 тыс. руб. без НДС  </t>
  </si>
  <si>
    <t>До 30.05.2011 г. пороговое значение для проведения регламентированных процедур в Обществе составляло-500 тыс. руб. без НДС. Предполагается заключение нескольких договоров поставки оборудования каждый из которых менее вышеуказанного порогового значения.</t>
  </si>
  <si>
    <t>Открытый запрос предложений</t>
  </si>
  <si>
    <t xml:space="preserve">До 30.05.2011 г. пороговое значение для проведения регламентированных процедур в Обществе составляло-500 тыс. руб. без НДС. </t>
  </si>
  <si>
    <t>До 30.05.2011 г. пороговое значение для проведения регламентированных процедур в Обществе составляло-500 тыс. руб. без НДС. Предполагается заключение договоров  каждый из которых менее вышеуказанного порогового значения.</t>
  </si>
  <si>
    <t>Материалы для проверки и установки приборов учета</t>
  </si>
  <si>
    <t xml:space="preserve">   Услуги связи  (городская и междугородняя связь)               </t>
  </si>
  <si>
    <t xml:space="preserve">            Услуги связи  (мобильная связь)</t>
  </si>
  <si>
    <t>Услуги по доставке счетов населению (УФПС РМ - филиал ФГУП "Почта России")</t>
  </si>
  <si>
    <t>Медосмотр водителей  Комсомольского межрайонного отделения</t>
  </si>
  <si>
    <t>Аренда помещений  с. Ст.- Шайгово</t>
  </si>
  <si>
    <t>Услуги вневедомственной охраны    г. Инсар</t>
  </si>
  <si>
    <t xml:space="preserve">Услуги вневедомственной охраны    г. Атяшево                                                                             г. Ардатов                                                                </t>
  </si>
  <si>
    <t>Услуги вневедомственной охраны  п. Торбеево</t>
  </si>
  <si>
    <t xml:space="preserve">Услуги вневедомственной охраны    с. Ст. Шайгово                                                                                                         </t>
  </si>
  <si>
    <t xml:space="preserve">Услуги вневедомственной охраны    с. Б. Березники                                                                                                         </t>
  </si>
  <si>
    <t>Услуги вневедомственной охраны     п. Ромоданово</t>
  </si>
  <si>
    <t>Услуги вневедомственной охраны  с. Дубенки</t>
  </si>
  <si>
    <t>Услуги по переоценке имущества   ОАО "Мордовская энергосбытовая компания"</t>
  </si>
  <si>
    <t xml:space="preserve">Ремонт здания  гаража с пристроем                                               ул. Большевистская 117а                                           </t>
  </si>
  <si>
    <t xml:space="preserve">Ремонт подвального помещения (актовый зал)                            ул.  Большевисткая 117 а </t>
  </si>
  <si>
    <t xml:space="preserve">Ремонт помещений Комсомольского МО (частичный ремонт)     </t>
  </si>
  <si>
    <t>Оргтехника (стоимостью   до 40 тыс. руб.)</t>
  </si>
  <si>
    <t>Оргтехника (стоимостью   свыше 40 тыс. руб.)</t>
  </si>
  <si>
    <t xml:space="preserve"> 1.1.1.3</t>
  </si>
  <si>
    <t>Автотранспорт (Chevrolet KLAN)</t>
  </si>
  <si>
    <t xml:space="preserve">                   АСКУЭ бытовых потребителей                                (г. Краснослободск)</t>
  </si>
  <si>
    <t>1.1.1.6              2.4.4.5</t>
  </si>
  <si>
    <t xml:space="preserve">         АИИСКУЭ бытовых потребителей                                                                                (г. Краснослободск):разработка проекта</t>
  </si>
  <si>
    <t>Автотранспорт ( УАЗ 220695-311-04 )</t>
  </si>
  <si>
    <t>Автотранспорт (УАЗ220695-311-04)</t>
  </si>
  <si>
    <t>Автотранспорт (ВАЗ 21074)</t>
  </si>
  <si>
    <t>Подогреватель водяной секционный (адм.здание)</t>
  </si>
  <si>
    <t xml:space="preserve">Строительство гаража    Ельниковской РС                                                                        </t>
  </si>
  <si>
    <t xml:space="preserve">Строительство гаража   Ичалковской РС                                                                        </t>
  </si>
  <si>
    <t xml:space="preserve">Строительство гаража   Кочкуровской РС                                                                        </t>
  </si>
  <si>
    <t xml:space="preserve">Строительство гаража   Ромадановской РС                                                                        </t>
  </si>
  <si>
    <t>Закупка запасных частей производтся у нескольких поставщиков</t>
  </si>
  <si>
    <t xml:space="preserve">Медосмотр водителей   Центрального отделения </t>
  </si>
  <si>
    <t>Медосмотр водителей  Саранского межрайонного отделения</t>
  </si>
  <si>
    <t>Медосмотр водителей  Краснслободского межрайонного отделения</t>
  </si>
  <si>
    <t xml:space="preserve">Медосмотр водителей   Ковылкинского межрайонного отделения </t>
  </si>
  <si>
    <t>Аренда гаража для Рузаевской РС  и Торбеевской РС</t>
  </si>
  <si>
    <t xml:space="preserve">Услуги вневедомственной охраны    г. Ковылкино          </t>
  </si>
  <si>
    <t xml:space="preserve">Услуги вневедомственной охраны   п. Комсомольский          </t>
  </si>
  <si>
    <t xml:space="preserve">Услуги вневедомственной охраны     г. Темников         </t>
  </si>
  <si>
    <t xml:space="preserve">Услуги вневедомственной охраны      с. Ичалки         </t>
  </si>
  <si>
    <t xml:space="preserve">Услуги вневедомственной охраны   п. Зубово-Поляна        </t>
  </si>
  <si>
    <t>Услуги вневедомственной охраны    г. Рузаевка</t>
  </si>
  <si>
    <t>Приобретение лицензионного  программного обеспечения</t>
  </si>
  <si>
    <t>1С:Предприятие 8. Клиентская лицензия на 100 рабочих мест (программная защита)</t>
  </si>
  <si>
    <t>Переработка сайта и стыковка с учетной системой</t>
  </si>
  <si>
    <t>Написание конфигурации на базе 1С:8,2 для осуществления энергосбытовой деятельности    с абонентами (физ..лицами)</t>
  </si>
  <si>
    <t>Покупка коробки под написание конфигурации 1С:8.2 (физ-лица)</t>
  </si>
  <si>
    <t>В Республике Мордовия услуги городской и  междугородней связи оказывает Мордовский филиал ОАО "Ростелеком "  . Саранск" который является субъектом естественной монополии</t>
  </si>
  <si>
    <t xml:space="preserve">Приобретение  огнетушителей </t>
  </si>
  <si>
    <t>Перезарядка огнетушителей</t>
  </si>
  <si>
    <t>2.4.8.13.10</t>
  </si>
  <si>
    <t>Система GPS-мониторинга автотранспорта</t>
  </si>
  <si>
    <t>Обработка чердачного помещения защитными составами</t>
  </si>
  <si>
    <t>Испытание электропроводки и заземлений</t>
  </si>
  <si>
    <t>Обучение DIRECTUM (новые модули)</t>
  </si>
  <si>
    <t>Уборка помещений (Саранское МО)</t>
  </si>
  <si>
    <t>Коллективное добровольное медицинское страхование граждан</t>
  </si>
  <si>
    <t>Добровольное медициеское страхование(топ-менеджеры)</t>
  </si>
  <si>
    <t xml:space="preserve">Услуги по охране объектов, находящихся на территории "Мордовэнерго" - филиала ОАО "МРСК Волги" </t>
  </si>
  <si>
    <t>Саранское МО, Краснослободское МО</t>
  </si>
  <si>
    <t>Краснослободское межрайонное отделение</t>
  </si>
  <si>
    <t xml:space="preserve">Техобслуживание средств пожарной охраны </t>
  </si>
  <si>
    <t>Услуги по распечатке счетов</t>
  </si>
  <si>
    <t>Аттестация рабочих мест</t>
  </si>
  <si>
    <t>ОАО "МЭСК"</t>
  </si>
  <si>
    <t>Услуги по сбору платежей за электроэнергию( почта)</t>
  </si>
  <si>
    <t>Услуги по сбору платежей за электроэнергию (банки)</t>
  </si>
  <si>
    <t>Заключены договора с 4- мя банками по приему платежей за электроэнегию от населения для удобства оплаты.</t>
  </si>
  <si>
    <t>Поверка приборов</t>
  </si>
  <si>
    <t>Юридические услуги (нотариальные)</t>
  </si>
  <si>
    <t>2.4.8.1</t>
  </si>
  <si>
    <t>2.4.8.4</t>
  </si>
  <si>
    <t>Услуги инкассации</t>
  </si>
  <si>
    <t>2.4.8.13.8</t>
  </si>
  <si>
    <t>2.4.11.7.6</t>
  </si>
  <si>
    <t xml:space="preserve">Публикация обязательной информации и отчетности </t>
  </si>
  <si>
    <t xml:space="preserve">Публикация объявлений </t>
  </si>
  <si>
    <t>Расходы на управление капиталом (переоценка, реестр, консультации)</t>
  </si>
  <si>
    <t>.</t>
  </si>
  <si>
    <t>9.17</t>
  </si>
  <si>
    <t>Возмещение комунальных платежей по аренде</t>
  </si>
  <si>
    <t xml:space="preserve">Ремонт помещений административного здания                                ул. Большевистская 117а (помещение №9)                                         </t>
  </si>
  <si>
    <t xml:space="preserve">Ремонт помещений административного здания                           ул. Большевистская 117а                                           </t>
  </si>
  <si>
    <t>Конкурентные переговоры</t>
  </si>
  <si>
    <t>итого закупки</t>
  </si>
  <si>
    <t>регламентированные закупки</t>
  </si>
  <si>
    <t>нерегламентируемые закупки</t>
  </si>
  <si>
    <t>1.1.1.4</t>
  </si>
  <si>
    <t>Бензин автомобильный для Краснослободского межрайонного отделения</t>
  </si>
  <si>
    <t>До 30.05.2011 г. пороговое значение для проведения регламентированных процедур в Обществе составляло-500 тыс. руб. без НДС. Ремонт оргтехники производится у нескольких поствщиков.</t>
  </si>
  <si>
    <t>Председатель ЦЗО ОАО "Мордовская энергосбытовая компания" ______________________А.М.Мордвинов</t>
  </si>
  <si>
    <t>Открытый запрос цен</t>
  </si>
  <si>
    <t>Открытый запрос запрос цен</t>
  </si>
  <si>
    <t>До 30.05.2011 г. пороговое значение для проведения регламентированных процедур в Обществе составляло-500 тыс. руб. без НДС.</t>
  </si>
  <si>
    <t>себестоимость</t>
  </si>
  <si>
    <t>Оборудование для энергоаудита (до 20 тыс.)</t>
  </si>
  <si>
    <t xml:space="preserve">          2.4.4.5</t>
  </si>
  <si>
    <t xml:space="preserve">  2.4.4.5</t>
  </si>
  <si>
    <t>Кондиционеры (до 40 тыс. руб)</t>
  </si>
  <si>
    <t>техническое обслуживание кондиционеров</t>
  </si>
  <si>
    <t>2.4..8.13.10</t>
  </si>
  <si>
    <t>(Основными критериями закупки у единственного источника являются цена и возможность обмена неисправных приборов учета без дополнительных транспортных расходов).</t>
  </si>
  <si>
    <t>Услуга может быть получена только от одного поставщика и отсутствует ее равноценная замена,</t>
  </si>
  <si>
    <t xml:space="preserve"> На основании заключенных в 2005 году  с момента образования ОАО "Мордовская энергосбытовая компания" договоров на оказание услуг сотовой связи поставщиком корпоративной сотовой связи является ОАО "Мегафон"</t>
  </si>
  <si>
    <t xml:space="preserve"> Технические возможности по организации интернет каналов связи до районных служб компании имеет только один поставщик</t>
  </si>
  <si>
    <t xml:space="preserve">Субъект естественной монополии </t>
  </si>
  <si>
    <t>Услуга может быть получена только от одного поставщика и отсутствует ее равноценная замена, т.к. объекты ОАО "МЭСК" находятся на территориии  Мордовского филиала " Генерация Центра"  ЗАО "КЭС-Холдинг."</t>
  </si>
  <si>
    <t xml:space="preserve"> услуга может быть получена только от одного поставщика и отсутствует ее равноценная замена,т.к. объекты ОАО "МЭСК" находятся на территориии , "Мордовэнерго" - филиала ОАО "МРСК Волги".</t>
  </si>
  <si>
    <t xml:space="preserve">услуга может быть получена только от одного поставщика и отсутствует ее равноценная замена - во всех мелких населенных пунктах республики есть почтовые отделения, соответственно есть возможность оплаты за электроэнегию физическим лицам) </t>
  </si>
  <si>
    <t xml:space="preserve"> услуга может быть получена только от одного поставщика и отсутствует ее равноценная замена)                                                                                                                         </t>
  </si>
  <si>
    <t xml:space="preserve">услуга может быть получена только от одного поставщика и отсутствует ее равноценная замена)                                                                                                                         </t>
  </si>
  <si>
    <t xml:space="preserve">Обязательные публикации о деятельности организации в соответствии ссо стандартом раскрытия информации субъектами оптового и розничного рынков электрической энергии в официальном печатном издании гос.власти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</si>
</sst>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_ ;\-#,##0\ "/>
    <numFmt numFmtId="170" formatCode="#,##0.00_ ;\-#,##0.00\ "/>
    <numFmt numFmtId="171" formatCode="0.0%"/>
    <numFmt numFmtId="172" formatCode="0.0"/>
    <numFmt numFmtId="173" formatCode="#,##0.0"/>
    <numFmt numFmtId="174" formatCode="[$-FC19]d\ mmmm\ yyyy\ &quot;г.&quot;"/>
    <numFmt numFmtId="175" formatCode="d/m/yy;@"/>
    <numFmt numFmtId="176" formatCode="[$-419]mmmm\ yyyy;@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26"/>
      <name val="Arial Cyr"/>
      <family val="0"/>
    </font>
    <font>
      <b/>
      <sz val="26"/>
      <name val="Times New Roman"/>
      <family val="1"/>
    </font>
    <font>
      <sz val="12"/>
      <name val="Arial Cyr"/>
      <family val="0"/>
    </font>
    <font>
      <sz val="26"/>
      <name val="Times New Roman"/>
      <family val="1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43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/>
    </xf>
    <xf numFmtId="0" fontId="10" fillId="0" borderId="29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8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3" fillId="0" borderId="0" xfId="53" applyFont="1" applyAlignment="1">
      <alignment horizontal="left"/>
      <protection/>
    </xf>
    <xf numFmtId="0" fontId="14" fillId="0" borderId="0" xfId="0" applyFont="1" applyAlignment="1">
      <alignment/>
    </xf>
    <xf numFmtId="0" fontId="12" fillId="0" borderId="0" xfId="53" applyFont="1" applyAlignment="1">
      <alignment horizontal="left"/>
      <protection/>
    </xf>
    <xf numFmtId="0" fontId="7" fillId="0" borderId="38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vertical="top" wrapText="1"/>
    </xf>
    <xf numFmtId="0" fontId="7" fillId="0" borderId="40" xfId="0" applyFont="1" applyFill="1" applyBorder="1" applyAlignment="1">
      <alignment vertical="top" wrapText="1"/>
    </xf>
    <xf numFmtId="0" fontId="7" fillId="0" borderId="41" xfId="0" applyFont="1" applyFill="1" applyBorder="1" applyAlignment="1">
      <alignment vertical="top" wrapText="1"/>
    </xf>
    <xf numFmtId="0" fontId="7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/>
    </xf>
    <xf numFmtId="0" fontId="6" fillId="0" borderId="4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7" fontId="6" fillId="0" borderId="23" xfId="0" applyNumberFormat="1" applyFont="1" applyFill="1" applyBorder="1" applyAlignment="1">
      <alignment horizontal="center" vertical="center" wrapText="1"/>
    </xf>
    <xf numFmtId="17" fontId="6" fillId="0" borderId="16" xfId="0" applyNumberFormat="1" applyFont="1" applyFill="1" applyBorder="1" applyAlignment="1">
      <alignment horizontal="center" vertical="center" wrapText="1"/>
    </xf>
    <xf numFmtId="2" fontId="6" fillId="0" borderId="45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17" fontId="6" fillId="0" borderId="21" xfId="0" applyNumberFormat="1" applyFont="1" applyFill="1" applyBorder="1" applyAlignment="1">
      <alignment horizontal="center" vertical="center" wrapText="1"/>
    </xf>
    <xf numFmtId="17" fontId="6" fillId="0" borderId="17" xfId="0" applyNumberFormat="1" applyFont="1" applyFill="1" applyBorder="1" applyAlignment="1">
      <alignment horizontal="center" vertical="center" wrapText="1"/>
    </xf>
    <xf numFmtId="2" fontId="6" fillId="0" borderId="49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7" fontId="6" fillId="0" borderId="50" xfId="0" applyNumberFormat="1" applyFont="1" applyFill="1" applyBorder="1" applyAlignment="1">
      <alignment horizontal="center" vertical="center" wrapText="1"/>
    </xf>
    <xf numFmtId="17" fontId="6" fillId="0" borderId="25" xfId="0" applyNumberFormat="1" applyFont="1" applyFill="1" applyBorder="1" applyAlignment="1">
      <alignment horizontal="center" vertical="center" wrapText="1"/>
    </xf>
    <xf numFmtId="17" fontId="6" fillId="0" borderId="26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17" fontId="6" fillId="0" borderId="52" xfId="0" applyNumberFormat="1" applyFont="1" applyFill="1" applyBorder="1" applyAlignment="1">
      <alignment horizontal="center" vertical="center" wrapText="1"/>
    </xf>
    <xf numFmtId="17" fontId="6" fillId="0" borderId="5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" fontId="6" fillId="0" borderId="37" xfId="0" applyNumberFormat="1" applyFont="1" applyFill="1" applyBorder="1" applyAlignment="1">
      <alignment horizontal="center" vertical="center" wrapText="1"/>
    </xf>
    <xf numFmtId="17" fontId="6" fillId="0" borderId="54" xfId="0" applyNumberFormat="1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17" fontId="6" fillId="0" borderId="18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17" fontId="6" fillId="0" borderId="47" xfId="0" applyNumberFormat="1" applyFont="1" applyFill="1" applyBorder="1" applyAlignment="1">
      <alignment horizontal="center" vertical="center" wrapText="1"/>
    </xf>
    <xf numFmtId="17" fontId="6" fillId="0" borderId="27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horizontal="right"/>
    </xf>
    <xf numFmtId="0" fontId="8" fillId="0" borderId="38" xfId="0" applyNumberFormat="1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2" fontId="6" fillId="0" borderId="61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/>
    </xf>
    <xf numFmtId="0" fontId="6" fillId="0" borderId="48" xfId="0" applyNumberFormat="1" applyFont="1" applyFill="1" applyBorder="1" applyAlignment="1">
      <alignment horizontal="left" vertical="center" wrapText="1"/>
    </xf>
    <xf numFmtId="0" fontId="6" fillId="0" borderId="45" xfId="54" applyFont="1" applyFill="1" applyBorder="1" applyAlignment="1" applyProtection="1">
      <alignment horizontal="left" vertical="center" wrapText="1" inden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15" fillId="0" borderId="61" xfId="0" applyNumberFormat="1" applyFont="1" applyFill="1" applyBorder="1" applyAlignment="1">
      <alignment horizontal="center"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15" fillId="0" borderId="45" xfId="0" applyNumberFormat="1" applyFont="1" applyFill="1" applyBorder="1" applyAlignment="1">
      <alignment horizontal="center" vertical="center" wrapText="1"/>
    </xf>
    <xf numFmtId="3" fontId="15" fillId="0" borderId="60" xfId="0" applyNumberFormat="1" applyFont="1" applyFill="1" applyBorder="1" applyAlignment="1">
      <alignment horizontal="center" vertical="center" wrapText="1"/>
    </xf>
    <xf numFmtId="3" fontId="15" fillId="0" borderId="45" xfId="0" applyNumberFormat="1" applyFont="1" applyFill="1" applyBorder="1" applyAlignment="1">
      <alignment horizontal="center" vertical="center"/>
    </xf>
    <xf numFmtId="3" fontId="15" fillId="0" borderId="49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0" borderId="47" xfId="0" applyNumberFormat="1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грамма закупок_1" xfId="53"/>
    <cellStyle name="Обычный_Сводка для эо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1\&#1050;&#1086;&#1088;&#1088;&#1077;&#1082;&#1090;&#1080;&#1088;&#1086;&#1074;&#1082;&#1072;%20&#1041;&#1055;%202011\&#1056;&#1072;&#1089;&#1096;&#1080;&#1092;&#1088;&#1086;&#1074;&#1082;&#1080;\&#1055;&#1083;&#1072;&#1085;%20&#1088;&#1077;&#1084;&#1086;&#1085;&#1090;&#1086;&#1074;%20&#1080;%20&#1053;&#105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1\&#1050;&#1086;&#1088;&#1088;&#1077;&#1082;&#1090;&#1080;&#1088;&#1086;&#1074;&#1082;&#1072;%20&#1041;&#1055;%202011\&#1056;&#1072;&#1089;&#1096;&#1080;&#1092;&#1088;&#1086;&#1074;&#1082;&#1080;\&#1089;&#1087;&#1077;&#1094;&#1080;&#1092;&#1080;&#1082;&#1072;&#1094;&#1080;&#1103;%202011&#1089;%20&#1087;&#1086;&#1103;&#1089;&#1085;&#1077;&#1085;&#1080;&#1103;&#1084;&#1080;%202-&#1077;%20&#1087;&#1086;&#1083;&#1091;&#1075;&#1086;&#1076;&#1080;&#1077;%20&#1082;&#1086;&#1088;&#1088;&#1077;&#1082;&#1090;&#1080;&#1088;&#1086;&#1074;&#1082;&#1072;(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1\&#1088;&#1072;&#1089;&#1096;&#1080;&#1092;&#1088;&#1086;&#1074;&#1082;&#1080;\&#1054;&#1093;&#1088;&#1072;&#1085;&#1072;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1\&#1088;&#1072;&#1089;&#1096;&#1080;&#1092;&#1088;&#1086;&#1074;&#1082;&#1080;\&#1050;&#1086;&#1084;&#1084;&#1091;&#1085;&#1072;&#1083;&#1100;&#1085;&#1099;&#1077;%20&#1091;&#1089;&#1083;&#1091;&#1075;&#1080;%20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1\&#1088;&#1072;&#1089;&#1096;&#1080;&#1092;&#1088;&#1086;&#1074;&#1082;&#1080;\&#1052;&#1077;&#1076;.&#1086;&#1089;&#1084;&#1086;&#1090;&#1088;%202011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1\&#1088;&#1072;&#1089;&#1096;&#1080;&#1092;&#1088;&#1086;&#1074;&#1082;&#1080;\&#1069;&#1082;&#1089;&#1087;&#1083;&#1091;&#1072;&#1090;&#1072;&#1094;&#1080;&#1103;%20&#1080;%20&#1088;&#1077;&#1084;&#1086;&#1085;&#1090;%20&#1072;&#1074;&#1090;&#1086;&#1090;&#1088;&#1072;&#1085;&#1089;&#1087;&#1086;&#1088;&#1090;&#1072;%20&#1085;&#1072;%202011%20&#1075;.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1\&#1088;&#1072;&#1089;&#1096;&#1080;&#1092;&#1088;&#1086;&#1074;&#1082;&#1080;\&#1040;&#1088;&#1077;&#1085;&#1076;&#1072;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1\&#1050;&#1086;&#1088;&#1088;&#1077;&#1082;&#1090;&#1080;&#1088;&#1086;&#1074;&#1082;&#1072;%20&#1041;&#1055;%202011\&#1041;&#1055;_&#1052;&#1069;&#1057;&#1050;_1108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1\&#1054;&#1090;&#1095;&#1077;&#1090;&#1085;&#1086;&#1089;&#1090;&#1100;%20&#1057;&#1072;&#1084;&#1072;&#1088;&#1072;\&#1086;&#1090;&#1095;&#1077;&#1090;&#1085;&#1086;&#1089;&#1090;&#1100;%20&#1072;&#1074;&#1075;&#1091;&#1089;&#1090;\&#1088;&#1072;&#1089;&#1096;&#1080;&#1092;&#1088;&#1086;&#1074;&#1082;&#1072;%20&#1072;&#1074;&#1075;&#1091;&#1089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1\&#1050;&#1086;&#1088;&#1088;&#1077;&#1082;&#1090;&#1080;&#1088;&#1086;&#1074;&#1082;&#1072;%20&#1041;&#1055;%202011\&#1056;&#1072;&#1089;&#1096;&#1080;&#1092;&#1088;&#1086;&#1074;&#1082;&#1080;\&#1056;&#1055;&#1041;%202011%20&#1082;&#1086;&#1088;&#1088;&#1077;&#1082;&#1090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1\&#1050;&#1086;&#1088;&#1088;&#1077;&#1082;&#1090;&#1080;&#1088;&#1086;&#1074;&#1082;&#1072;%20&#1041;&#1055;%202011\&#1056;&#1072;&#1089;&#1096;&#1080;&#1092;&#1088;&#1086;&#1074;&#1082;&#1080;\&#1054;&#1058;%20&#1080;&#1058;&#104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1\&#1050;&#1086;&#1088;&#1088;&#1077;&#1082;&#1090;&#1080;&#1088;&#1086;&#1074;&#1082;&#1072;%20&#1041;&#1055;%202011\&#1056;&#1072;&#1089;&#1096;&#1080;&#1092;&#1088;&#1086;&#1074;&#1082;&#1080;\&#1055;&#1077;&#1088;&#1077;&#1095;&#1077;&#1085;&#1100;%20&#1085;&#1072;%202011%20&#1075;&#1086;&#1076;%20&#1082;&#1086;&#1088;&#1088;&#1077;&#1082;&#1090;&#1080;&#1088;&#1086;&#1074;&#1082;&#1072;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1\&#1050;&#1086;&#1088;&#1088;&#1077;&#1082;&#1090;&#1080;&#1088;&#1086;&#1074;&#1082;&#1072;%20&#1041;&#1055;%202011\&#1056;&#1072;&#1089;&#1096;&#1080;&#1092;&#1088;&#1086;&#1074;&#1082;&#1080;\&#1055;&#1088;&#1086;&#1095;&#1080;&#1077;%20&#1084;&#1072;&#1090;&#1077;&#1088;&#1080;&#1072;&#1083;&#1099;%20(&#1082;&#1086;&#1088;&#1088;&#1077;&#1082;.)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1\&#1050;&#1086;&#1088;&#1088;&#1077;&#1082;&#1090;&#1080;&#1088;&#1086;&#1074;&#1082;&#1072;%20&#1041;&#1055;%202011\&#1056;&#1072;&#1089;&#1096;&#1080;&#1092;&#1088;&#1086;&#1074;&#1082;&#1080;\&#1055;&#1088;&#1086;&#1095;&#1080;&#1077;%20&#1091;&#1089;&#1083;&#1091;&#1075;&#1080;%20&#1082;&#1086;&#1088;.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1\&#1050;&#1086;&#1088;&#1088;&#1077;&#1082;&#1090;&#1080;&#1088;&#1086;&#1074;&#1082;&#1072;%20&#1041;&#1055;%202011\&#1056;&#1072;&#1089;&#1096;&#1080;&#1092;&#1088;&#1086;&#1074;&#1082;&#1080;\&#1057;&#1090;&#1088;&#1072;&#1093;&#1086;&#1074;&#1072;&#1085;&#1080;&#1077;%202011%20&#1082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Кор"/>
      <sheetName val="Инвестиции"/>
    </sheetNames>
    <sheetDataSet>
      <sheetData sheetId="0">
        <row r="21">
          <cell r="F21">
            <v>936.5</v>
          </cell>
        </row>
        <row r="23">
          <cell r="F23">
            <v>1530</v>
          </cell>
        </row>
        <row r="25">
          <cell r="J25">
            <v>195.16783</v>
          </cell>
        </row>
        <row r="37">
          <cell r="F37">
            <v>50</v>
          </cell>
        </row>
        <row r="47">
          <cell r="F47">
            <v>730</v>
          </cell>
        </row>
        <row r="54">
          <cell r="F54">
            <v>60</v>
          </cell>
        </row>
        <row r="56">
          <cell r="F56">
            <v>40</v>
          </cell>
        </row>
        <row r="59">
          <cell r="F59">
            <v>428</v>
          </cell>
        </row>
        <row r="72">
          <cell r="F72">
            <v>700.8</v>
          </cell>
        </row>
        <row r="81">
          <cell r="M81">
            <v>1272.54872</v>
          </cell>
        </row>
        <row r="88">
          <cell r="F88">
            <v>489</v>
          </cell>
        </row>
        <row r="93">
          <cell r="F93">
            <v>347</v>
          </cell>
        </row>
        <row r="158">
          <cell r="F158">
            <v>161.57268000000002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 бюджет"/>
      <sheetName val="Лицензионное ПО"/>
      <sheetName val="Услуги связи"/>
      <sheetName val="Инвестиционные проекты"/>
      <sheetName val="Ремонт и запчасти"/>
    </sheetNames>
    <sheetDataSet>
      <sheetData sheetId="4">
        <row r="5">
          <cell r="C5">
            <v>47437.96610169492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11 без НДС"/>
      <sheetName val="2011 с НДС"/>
      <sheetName val="18.01"/>
      <sheetName val="18.01 с НДС"/>
      <sheetName val="нов."/>
      <sheetName val="нов. 1"/>
    </sheetNames>
    <sheetDataSet>
      <sheetData sheetId="4">
        <row r="19">
          <cell r="C19">
            <v>34461.28813559322</v>
          </cell>
        </row>
        <row r="20">
          <cell r="C20">
            <v>80544</v>
          </cell>
        </row>
      </sheetData>
      <sheetData sheetId="5">
        <row r="16">
          <cell r="C16">
            <v>7144.5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11 без НДС"/>
      <sheetName val="2011 нов."/>
    </sheetNames>
    <sheetDataSet>
      <sheetData sheetId="1">
        <row r="42">
          <cell r="H42">
            <v>17103.155608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О план 2010"/>
      <sheetName val="МО план 2011"/>
      <sheetName val="МО нов. договора"/>
      <sheetName val="МО нов. договора (1)"/>
    </sheetNames>
    <sheetDataSet>
      <sheetData sheetId="3">
        <row r="5">
          <cell r="Y5">
            <v>170128</v>
          </cell>
        </row>
        <row r="14">
          <cell r="Y14">
            <v>70998.97200000001</v>
          </cell>
        </row>
        <row r="20">
          <cell r="Y20">
            <v>133883.424</v>
          </cell>
        </row>
        <row r="27">
          <cell r="Y27">
            <v>79688.89600000001</v>
          </cell>
        </row>
        <row r="34">
          <cell r="Y34">
            <v>73542.48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эксплуат."/>
      <sheetName val="ремонт"/>
      <sheetName val="17.01."/>
      <sheetName val="Лист3"/>
    </sheetNames>
    <sheetDataSet>
      <sheetData sheetId="0">
        <row r="6">
          <cell r="S6">
            <v>44750</v>
          </cell>
        </row>
        <row r="7">
          <cell r="S7">
            <v>104292.37288135593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"/>
      <sheetName val="Расходы с НДС"/>
      <sheetName val="Доходы"/>
      <sheetName val="Расходы  25.01"/>
    </sheetNames>
    <sheetDataSet>
      <sheetData sheetId="3">
        <row r="7">
          <cell r="F7">
            <v>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Л"/>
      <sheetName val="КПЭ"/>
      <sheetName val="МД_п"/>
      <sheetName val="МД"/>
      <sheetName val="ТП "/>
      <sheetName val="ПЭ "/>
      <sheetName val="ОТ"/>
      <sheetName val="РФ"/>
      <sheetName val="БДР"/>
      <sheetName val="БДДС-план"/>
      <sheetName val="БДДС-факт"/>
      <sheetName val="БДДС-отчет"/>
      <sheetName val="ИП-план"/>
      <sheetName val="ИП-факт"/>
      <sheetName val="ИП-отчет"/>
      <sheetName val="ДДЗ"/>
      <sheetName val="ББ"/>
      <sheetName val="ФСГП"/>
    </sheetNames>
    <sheetDataSet>
      <sheetData sheetId="8">
        <row r="61">
          <cell r="E61">
            <v>680.04183</v>
          </cell>
        </row>
        <row r="65">
          <cell r="E65">
            <v>218.72883</v>
          </cell>
        </row>
        <row r="79">
          <cell r="E79">
            <v>41.64</v>
          </cell>
        </row>
        <row r="83">
          <cell r="E83">
            <v>198.86114121600002</v>
          </cell>
        </row>
        <row r="86">
          <cell r="E86">
            <v>1565.6066</v>
          </cell>
        </row>
        <row r="90">
          <cell r="E90">
            <v>6576.47003896</v>
          </cell>
        </row>
        <row r="92">
          <cell r="E92">
            <v>4349.4258899999995</v>
          </cell>
        </row>
        <row r="94">
          <cell r="E94">
            <v>428.21761135593226</v>
          </cell>
        </row>
        <row r="96">
          <cell r="E96">
            <v>16.144065084745765</v>
          </cell>
        </row>
        <row r="112">
          <cell r="E112">
            <v>1979.1212406983054</v>
          </cell>
        </row>
        <row r="127">
          <cell r="E127">
            <v>933.8718200000001</v>
          </cell>
        </row>
        <row r="132">
          <cell r="E132">
            <v>708.0816871186441</v>
          </cell>
        </row>
        <row r="133">
          <cell r="E133">
            <v>272.173</v>
          </cell>
        </row>
        <row r="134">
          <cell r="E134">
            <v>446.42444</v>
          </cell>
        </row>
        <row r="137">
          <cell r="E137">
            <v>229.6348</v>
          </cell>
        </row>
        <row r="212">
          <cell r="E212">
            <v>114.52181</v>
          </cell>
        </row>
      </sheetData>
      <sheetData sheetId="12">
        <row r="21">
          <cell r="K21">
            <v>464.17508999999995</v>
          </cell>
        </row>
        <row r="24">
          <cell r="AF24">
            <v>143</v>
          </cell>
        </row>
        <row r="30">
          <cell r="K30">
            <v>924.19272</v>
          </cell>
        </row>
        <row r="33">
          <cell r="K33">
            <v>41.61017</v>
          </cell>
        </row>
        <row r="36">
          <cell r="K36">
            <v>1050</v>
          </cell>
        </row>
        <row r="37">
          <cell r="K37">
            <v>447</v>
          </cell>
        </row>
        <row r="40">
          <cell r="K40">
            <v>1035</v>
          </cell>
        </row>
        <row r="74">
          <cell r="K74">
            <v>1700</v>
          </cell>
        </row>
        <row r="77">
          <cell r="K77">
            <v>450</v>
          </cell>
        </row>
        <row r="80">
          <cell r="K80">
            <v>450</v>
          </cell>
        </row>
        <row r="83">
          <cell r="K83">
            <v>450</v>
          </cell>
        </row>
        <row r="86">
          <cell r="K86">
            <v>450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7">
          <cell r="H17">
            <v>557458.98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"/>
      <sheetName val="РПБ кор."/>
      <sheetName val="внеобор. для баланса"/>
      <sheetName val="Лист3"/>
    </sheetNames>
    <sheetDataSet>
      <sheetData sheetId="1">
        <row r="22">
          <cell r="B22">
            <v>300000</v>
          </cell>
        </row>
        <row r="23">
          <cell r="D23">
            <v>400000</v>
          </cell>
        </row>
        <row r="24">
          <cell r="B24">
            <v>100000</v>
          </cell>
        </row>
        <row r="25">
          <cell r="D25">
            <v>548000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I14">
            <v>16</v>
          </cell>
        </row>
        <row r="17">
          <cell r="I17">
            <v>90</v>
          </cell>
        </row>
        <row r="18">
          <cell r="I18">
            <v>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мена приборов учета"/>
      <sheetName val="сводная 2011г."/>
      <sheetName val="2 полугодие"/>
      <sheetName val="Лист1"/>
    </sheetNames>
    <sheetDataSet>
      <sheetData sheetId="2">
        <row r="211">
          <cell r="F211">
            <v>121308.3</v>
          </cell>
          <cell r="J211">
            <v>21899.8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чие материалы 2011 (2)"/>
    </sheetNames>
    <sheetDataSet>
      <sheetData sheetId="0">
        <row r="20">
          <cell r="O20">
            <v>427.11864406779665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M4">
            <v>34956</v>
          </cell>
        </row>
        <row r="6">
          <cell r="D6">
            <v>27230.5</v>
          </cell>
        </row>
        <row r="8">
          <cell r="M8">
            <v>34914.7</v>
          </cell>
        </row>
        <row r="9">
          <cell r="L9">
            <v>47000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Договоры"/>
      <sheetName val="Договоры 2011"/>
      <sheetName val="Лист3"/>
    </sheetNames>
    <sheetDataSet>
      <sheetData sheetId="2">
        <row r="3">
          <cell r="E3">
            <v>2400</v>
          </cell>
        </row>
        <row r="5">
          <cell r="E5">
            <v>2649.52073</v>
          </cell>
        </row>
        <row r="6">
          <cell r="E6">
            <v>5135.535</v>
          </cell>
        </row>
        <row r="22">
          <cell r="E22">
            <v>14653.232550000002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93"/>
  <sheetViews>
    <sheetView tabSelected="1" zoomScale="50" zoomScaleNormal="50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8.00390625" style="1" customWidth="1"/>
    <col min="3" max="3" width="62.125" style="1" customWidth="1"/>
    <col min="4" max="4" width="21.875" style="1" customWidth="1"/>
    <col min="5" max="5" width="18.00390625" style="1" customWidth="1"/>
    <col min="6" max="6" width="19.125" style="1" customWidth="1"/>
    <col min="7" max="7" width="20.875" style="1" customWidth="1"/>
    <col min="8" max="8" width="25.75390625" style="1" customWidth="1"/>
    <col min="9" max="9" width="38.375" style="1" customWidth="1"/>
    <col min="10" max="10" width="20.625" style="1" customWidth="1"/>
    <col min="11" max="11" width="18.125" style="1" customWidth="1"/>
    <col min="12" max="12" width="79.625" style="1" customWidth="1"/>
    <col min="13" max="13" width="61.625" style="1" hidden="1" customWidth="1"/>
    <col min="14" max="14" width="63.125" style="1" hidden="1" customWidth="1"/>
    <col min="15" max="15" width="43.875" style="1" hidden="1" customWidth="1"/>
    <col min="16" max="16" width="8.625" style="1" customWidth="1"/>
    <col min="17" max="17" width="16.25390625" style="1" customWidth="1"/>
    <col min="18" max="18" width="16.75390625" style="1" customWidth="1"/>
    <col min="19" max="19" width="14.25390625" style="1" customWidth="1"/>
    <col min="20" max="20" width="13.25390625" style="1" customWidth="1"/>
    <col min="21" max="21" width="16.125" style="1" customWidth="1"/>
    <col min="22" max="22" width="9.125" style="1" customWidth="1"/>
    <col min="23" max="23" width="11.00390625" style="1" bestFit="1" customWidth="1"/>
    <col min="24" max="16384" width="9.125" style="1" customWidth="1"/>
  </cols>
  <sheetData>
    <row r="1" spans="1:15" ht="20.25">
      <c r="A1" s="3"/>
      <c r="B1" s="3"/>
      <c r="C1" s="3"/>
      <c r="D1" s="3"/>
      <c r="E1" s="3"/>
      <c r="F1" s="3"/>
      <c r="G1" s="3"/>
      <c r="H1" s="3"/>
      <c r="I1" s="2"/>
      <c r="J1" s="2"/>
      <c r="K1" s="2"/>
      <c r="L1" s="30" t="s">
        <v>0</v>
      </c>
      <c r="O1" s="30" t="s">
        <v>0</v>
      </c>
    </row>
    <row r="2" spans="1:15" ht="28.5" customHeight="1">
      <c r="A2" s="2"/>
      <c r="B2" s="2"/>
      <c r="C2" s="2"/>
      <c r="D2" s="2"/>
      <c r="E2" s="2"/>
      <c r="F2" s="2"/>
      <c r="G2" s="3"/>
      <c r="H2" s="3"/>
      <c r="I2" s="2"/>
      <c r="J2" s="2"/>
      <c r="K2" s="2"/>
      <c r="L2" s="30" t="s">
        <v>70</v>
      </c>
      <c r="M2" s="45"/>
      <c r="N2" s="45"/>
      <c r="O2" s="46" t="s">
        <v>70</v>
      </c>
    </row>
    <row r="3" spans="1:15" ht="28.5" customHeight="1">
      <c r="A3" s="2"/>
      <c r="B3" s="2"/>
      <c r="C3" s="2"/>
      <c r="D3" s="2"/>
      <c r="E3" s="2"/>
      <c r="F3" s="2"/>
      <c r="G3" s="3"/>
      <c r="H3" s="3"/>
      <c r="I3" s="2"/>
      <c r="J3" s="2"/>
      <c r="K3" s="2"/>
      <c r="L3" s="30" t="s">
        <v>1</v>
      </c>
      <c r="M3" s="45"/>
      <c r="N3" s="45"/>
      <c r="O3" s="46" t="s">
        <v>1</v>
      </c>
    </row>
    <row r="4" spans="1:15" ht="21" customHeight="1">
      <c r="A4" s="2"/>
      <c r="B4" s="2"/>
      <c r="C4" s="2"/>
      <c r="D4" s="2"/>
      <c r="E4" s="2"/>
      <c r="F4" s="2"/>
      <c r="G4" s="3"/>
      <c r="H4" s="3"/>
      <c r="I4" s="2"/>
      <c r="J4" s="2"/>
      <c r="K4" s="2"/>
      <c r="L4" s="30"/>
      <c r="M4" s="45"/>
      <c r="N4" s="45"/>
      <c r="O4" s="46"/>
    </row>
    <row r="5" spans="1:15" ht="27" customHeight="1">
      <c r="A5" s="2"/>
      <c r="B5" s="2"/>
      <c r="C5" s="2"/>
      <c r="D5" s="2"/>
      <c r="E5" s="2"/>
      <c r="F5" s="2"/>
      <c r="G5" s="3"/>
      <c r="H5" s="3"/>
      <c r="I5" s="2"/>
      <c r="J5" s="115"/>
      <c r="K5" s="116"/>
      <c r="L5" s="117" t="s">
        <v>163</v>
      </c>
      <c r="M5" s="45"/>
      <c r="N5" s="45"/>
      <c r="O5" s="46"/>
    </row>
    <row r="6" spans="1:15" ht="28.5" customHeight="1">
      <c r="A6" s="2"/>
      <c r="B6" s="2"/>
      <c r="C6" s="2"/>
      <c r="D6" s="2"/>
      <c r="E6" s="2"/>
      <c r="F6" s="2"/>
      <c r="G6" s="3"/>
      <c r="H6" s="3"/>
      <c r="I6" s="2"/>
      <c r="J6" s="115"/>
      <c r="K6" s="116"/>
      <c r="L6" s="117" t="s">
        <v>71</v>
      </c>
      <c r="M6" s="45"/>
      <c r="N6" s="45"/>
      <c r="O6" s="46"/>
    </row>
    <row r="7" spans="1:15" ht="27" customHeight="1">
      <c r="A7" s="2"/>
      <c r="B7" s="2"/>
      <c r="C7" s="2"/>
      <c r="D7" s="2"/>
      <c r="E7" s="2"/>
      <c r="F7" s="2"/>
      <c r="G7" s="3"/>
      <c r="H7" s="3"/>
      <c r="I7" s="2"/>
      <c r="J7" s="115"/>
      <c r="K7" s="116"/>
      <c r="L7" s="117" t="s">
        <v>164</v>
      </c>
      <c r="M7" s="45"/>
      <c r="N7" s="45"/>
      <c r="O7" s="46"/>
    </row>
    <row r="8" spans="1:12" ht="20.25">
      <c r="A8" s="2"/>
      <c r="B8" s="2"/>
      <c r="C8" s="2"/>
      <c r="D8" s="2"/>
      <c r="E8" s="2"/>
      <c r="F8" s="2"/>
      <c r="G8" s="3"/>
      <c r="H8" s="3"/>
      <c r="I8" s="3"/>
      <c r="J8" s="3"/>
      <c r="K8" s="3"/>
      <c r="L8" s="3"/>
    </row>
    <row r="9" spans="1:17" ht="27.75" customHeight="1">
      <c r="A9" s="2" t="s">
        <v>266</v>
      </c>
      <c r="B9" s="2"/>
      <c r="C9" s="2"/>
      <c r="D9" s="2"/>
      <c r="E9" s="2"/>
      <c r="F9" s="2"/>
      <c r="G9" s="3"/>
      <c r="H9" s="3"/>
      <c r="I9" s="3"/>
      <c r="J9" s="3"/>
      <c r="K9" s="3"/>
      <c r="L9" s="3"/>
      <c r="N9" s="45" t="s">
        <v>69</v>
      </c>
      <c r="O9" s="25"/>
      <c r="P9" s="25"/>
      <c r="Q9" s="25"/>
    </row>
    <row r="10" spans="1:14" ht="31.5" customHeight="1">
      <c r="A10" s="2" t="s">
        <v>73</v>
      </c>
      <c r="B10" s="2"/>
      <c r="C10" s="2"/>
      <c r="D10" s="2"/>
      <c r="E10" s="2"/>
      <c r="F10" s="2"/>
      <c r="G10" s="3"/>
      <c r="H10" s="3"/>
      <c r="I10" s="3"/>
      <c r="J10" s="3"/>
      <c r="K10" s="3"/>
      <c r="L10" s="3"/>
      <c r="N10" s="45" t="s">
        <v>71</v>
      </c>
    </row>
    <row r="11" spans="1:14" ht="36.75" customHeight="1">
      <c r="A11" s="2"/>
      <c r="B11" s="2"/>
      <c r="C11" s="2"/>
      <c r="D11" s="2"/>
      <c r="E11" s="2"/>
      <c r="F11" s="2"/>
      <c r="G11" s="3"/>
      <c r="H11" s="3"/>
      <c r="I11" s="3"/>
      <c r="J11" s="3"/>
      <c r="K11" s="3"/>
      <c r="L11" s="3"/>
      <c r="N11" s="45" t="s">
        <v>72</v>
      </c>
    </row>
    <row r="12" spans="1:12" ht="34.5" customHeight="1">
      <c r="A12" s="2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30.7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8" ht="137.25" customHeight="1" thickBot="1">
      <c r="A14" s="13" t="s">
        <v>2</v>
      </c>
      <c r="B14" s="118" t="s">
        <v>3</v>
      </c>
      <c r="C14" s="22" t="s">
        <v>75</v>
      </c>
      <c r="D14" s="62" t="s">
        <v>5</v>
      </c>
      <c r="E14" s="13" t="s">
        <v>165</v>
      </c>
      <c r="F14" s="13" t="s">
        <v>76</v>
      </c>
      <c r="G14" s="62" t="s">
        <v>77</v>
      </c>
      <c r="H14" s="13" t="s">
        <v>78</v>
      </c>
      <c r="I14" s="13" t="s">
        <v>4</v>
      </c>
      <c r="J14" s="62" t="s">
        <v>116</v>
      </c>
      <c r="K14" s="13" t="s">
        <v>79</v>
      </c>
      <c r="L14" s="13" t="s">
        <v>6</v>
      </c>
      <c r="M14" s="27"/>
      <c r="N14" s="11"/>
      <c r="O14" s="11"/>
      <c r="P14" s="49"/>
      <c r="Q14" s="11"/>
      <c r="R14" s="11"/>
    </row>
    <row r="15" spans="1:18" ht="19.5" thickBot="1">
      <c r="A15" s="47">
        <v>1</v>
      </c>
      <c r="B15" s="119">
        <v>2</v>
      </c>
      <c r="C15" s="47">
        <v>3</v>
      </c>
      <c r="D15" s="126">
        <v>4</v>
      </c>
      <c r="E15" s="64">
        <v>5</v>
      </c>
      <c r="F15" s="63">
        <v>6</v>
      </c>
      <c r="G15" s="47">
        <v>7</v>
      </c>
      <c r="H15" s="47">
        <v>8</v>
      </c>
      <c r="I15" s="63">
        <v>9</v>
      </c>
      <c r="J15" s="73">
        <v>10</v>
      </c>
      <c r="K15" s="47">
        <v>11</v>
      </c>
      <c r="L15" s="47">
        <v>12</v>
      </c>
      <c r="M15" s="65"/>
      <c r="N15" s="11"/>
      <c r="O15" s="11"/>
      <c r="P15" s="49"/>
      <c r="Q15" s="11"/>
      <c r="R15" s="11"/>
    </row>
    <row r="16" spans="1:17" ht="39" customHeight="1">
      <c r="A16" s="79">
        <v>1</v>
      </c>
      <c r="B16" s="81">
        <v>1</v>
      </c>
      <c r="C16" s="127" t="s">
        <v>65</v>
      </c>
      <c r="D16" s="120" t="s">
        <v>7</v>
      </c>
      <c r="E16" s="148">
        <v>160000</v>
      </c>
      <c r="F16" s="82">
        <v>40544</v>
      </c>
      <c r="G16" s="95">
        <v>40908</v>
      </c>
      <c r="H16" s="139" t="s">
        <v>80</v>
      </c>
      <c r="I16" s="80" t="s">
        <v>10</v>
      </c>
      <c r="J16" s="83">
        <v>40544</v>
      </c>
      <c r="K16" s="80" t="s">
        <v>93</v>
      </c>
      <c r="L16" s="85"/>
      <c r="M16" s="48"/>
      <c r="P16" s="49"/>
      <c r="Q16" s="43"/>
    </row>
    <row r="17" spans="1:18" ht="35.25" customHeight="1">
      <c r="A17" s="86">
        <v>2</v>
      </c>
      <c r="B17" s="88">
        <v>1</v>
      </c>
      <c r="C17" s="128" t="s">
        <v>66</v>
      </c>
      <c r="D17" s="107" t="s">
        <v>7</v>
      </c>
      <c r="E17" s="149">
        <v>68500</v>
      </c>
      <c r="F17" s="82">
        <v>40544</v>
      </c>
      <c r="G17" s="96">
        <v>40908</v>
      </c>
      <c r="H17" s="84" t="s">
        <v>80</v>
      </c>
      <c r="I17" s="80" t="s">
        <v>10</v>
      </c>
      <c r="J17" s="83">
        <v>40544</v>
      </c>
      <c r="K17" s="80" t="s">
        <v>93</v>
      </c>
      <c r="L17" s="85"/>
      <c r="M17" s="11"/>
      <c r="P17" s="49"/>
      <c r="Q17" s="11"/>
      <c r="R17" s="29"/>
    </row>
    <row r="18" spans="1:18" ht="45" customHeight="1">
      <c r="A18" s="79">
        <v>3</v>
      </c>
      <c r="B18" s="88">
        <v>1</v>
      </c>
      <c r="C18" s="128" t="s">
        <v>67</v>
      </c>
      <c r="D18" s="107" t="s">
        <v>7</v>
      </c>
      <c r="E18" s="150">
        <v>155000</v>
      </c>
      <c r="F18" s="82">
        <v>40544</v>
      </c>
      <c r="G18" s="95">
        <v>40908</v>
      </c>
      <c r="H18" s="84" t="s">
        <v>80</v>
      </c>
      <c r="I18" s="87" t="s">
        <v>10</v>
      </c>
      <c r="J18" s="83">
        <v>40544</v>
      </c>
      <c r="K18" s="80" t="s">
        <v>93</v>
      </c>
      <c r="L18" s="89"/>
      <c r="M18" s="11"/>
      <c r="P18" s="49"/>
      <c r="Q18" s="11"/>
      <c r="R18" s="11"/>
    </row>
    <row r="19" spans="1:18" ht="38.25" customHeight="1">
      <c r="A19" s="86">
        <v>4</v>
      </c>
      <c r="B19" s="88">
        <v>1</v>
      </c>
      <c r="C19" s="128" t="s">
        <v>68</v>
      </c>
      <c r="D19" s="107" t="s">
        <v>7</v>
      </c>
      <c r="E19" s="149">
        <v>120000</v>
      </c>
      <c r="F19" s="90">
        <v>40544</v>
      </c>
      <c r="G19" s="96">
        <v>40908</v>
      </c>
      <c r="H19" s="92" t="s">
        <v>80</v>
      </c>
      <c r="I19" s="87" t="s">
        <v>10</v>
      </c>
      <c r="J19" s="83">
        <v>40544</v>
      </c>
      <c r="K19" s="80" t="s">
        <v>93</v>
      </c>
      <c r="L19" s="89"/>
      <c r="M19" s="11"/>
      <c r="P19" s="49"/>
      <c r="Q19" s="11"/>
      <c r="R19" s="29"/>
    </row>
    <row r="20" spans="1:18" ht="37.5" customHeight="1">
      <c r="A20" s="86">
        <v>5</v>
      </c>
      <c r="B20" s="88">
        <v>1</v>
      </c>
      <c r="C20" s="128" t="s">
        <v>11</v>
      </c>
      <c r="D20" s="107" t="s">
        <v>7</v>
      </c>
      <c r="E20" s="149">
        <v>198000</v>
      </c>
      <c r="F20" s="90">
        <v>40544</v>
      </c>
      <c r="G20" s="96">
        <v>40908</v>
      </c>
      <c r="H20" s="92" t="s">
        <v>80</v>
      </c>
      <c r="I20" s="93" t="s">
        <v>10</v>
      </c>
      <c r="J20" s="91">
        <v>40544</v>
      </c>
      <c r="K20" s="87" t="s">
        <v>93</v>
      </c>
      <c r="L20" s="89"/>
      <c r="M20" s="11"/>
      <c r="N20" s="11"/>
      <c r="O20" s="11"/>
      <c r="P20" s="49"/>
      <c r="Q20" s="11"/>
      <c r="R20" s="11"/>
    </row>
    <row r="21" spans="1:18" ht="37.5" customHeight="1">
      <c r="A21" s="79">
        <v>6</v>
      </c>
      <c r="B21" s="81">
        <v>1</v>
      </c>
      <c r="C21" s="127" t="s">
        <v>257</v>
      </c>
      <c r="D21" s="107" t="s">
        <v>7</v>
      </c>
      <c r="E21" s="150">
        <f>('[1]2011 Кор'!$J$25)*1000</f>
        <v>195167.83000000002</v>
      </c>
      <c r="F21" s="90">
        <v>40603</v>
      </c>
      <c r="G21" s="95">
        <v>40634</v>
      </c>
      <c r="H21" s="84" t="s">
        <v>82</v>
      </c>
      <c r="I21" s="154" t="s">
        <v>14</v>
      </c>
      <c r="J21" s="83">
        <v>40603</v>
      </c>
      <c r="K21" s="80" t="s">
        <v>126</v>
      </c>
      <c r="L21" s="85"/>
      <c r="M21" s="11"/>
      <c r="N21" s="11"/>
      <c r="O21" s="11"/>
      <c r="P21" s="49"/>
      <c r="Q21" s="11"/>
      <c r="R21" s="11"/>
    </row>
    <row r="22" spans="1:18" ht="38.25" customHeight="1">
      <c r="A22" s="79">
        <v>7</v>
      </c>
      <c r="B22" s="81">
        <v>1</v>
      </c>
      <c r="C22" s="127" t="s">
        <v>189</v>
      </c>
      <c r="D22" s="107" t="s">
        <v>7</v>
      </c>
      <c r="E22" s="150">
        <f>'[1]2011 Кор'!$F$21*1000</f>
        <v>936500</v>
      </c>
      <c r="F22" s="90">
        <v>40817</v>
      </c>
      <c r="G22" s="95">
        <v>40878</v>
      </c>
      <c r="H22" s="84" t="s">
        <v>82</v>
      </c>
      <c r="I22" s="154" t="s">
        <v>14</v>
      </c>
      <c r="J22" s="90">
        <v>40817</v>
      </c>
      <c r="K22" s="80" t="s">
        <v>126</v>
      </c>
      <c r="L22" s="85"/>
      <c r="M22" s="11"/>
      <c r="N22" s="11"/>
      <c r="O22" s="11"/>
      <c r="P22" s="49"/>
      <c r="Q22" s="11"/>
      <c r="R22" s="11"/>
    </row>
    <row r="23" spans="1:18" ht="41.25" customHeight="1">
      <c r="A23" s="79">
        <v>8</v>
      </c>
      <c r="B23" s="81">
        <v>1</v>
      </c>
      <c r="C23" s="127" t="s">
        <v>258</v>
      </c>
      <c r="D23" s="120" t="s">
        <v>7</v>
      </c>
      <c r="E23" s="150">
        <f>'[1]2011 Кор'!$F$23*1000-E21</f>
        <v>1334832.17</v>
      </c>
      <c r="F23" s="94">
        <v>40848</v>
      </c>
      <c r="G23" s="95">
        <v>40878</v>
      </c>
      <c r="H23" s="84" t="s">
        <v>82</v>
      </c>
      <c r="I23" s="154" t="s">
        <v>14</v>
      </c>
      <c r="J23" s="83">
        <v>40848</v>
      </c>
      <c r="K23" s="80" t="s">
        <v>126</v>
      </c>
      <c r="L23" s="132"/>
      <c r="M23" s="11"/>
      <c r="N23" s="11" t="s">
        <v>62</v>
      </c>
      <c r="O23" s="11"/>
      <c r="P23" s="49"/>
      <c r="Q23" s="11"/>
      <c r="R23" s="11"/>
    </row>
    <row r="24" spans="1:18" ht="36.75" customHeight="1">
      <c r="A24" s="86">
        <v>9</v>
      </c>
      <c r="B24" s="88">
        <v>1</v>
      </c>
      <c r="C24" s="127" t="s">
        <v>188</v>
      </c>
      <c r="D24" s="107" t="s">
        <v>7</v>
      </c>
      <c r="E24" s="149">
        <v>413000</v>
      </c>
      <c r="F24" s="94">
        <v>40695</v>
      </c>
      <c r="G24" s="95">
        <v>40817</v>
      </c>
      <c r="H24" s="84" t="s">
        <v>82</v>
      </c>
      <c r="I24" s="156" t="s">
        <v>14</v>
      </c>
      <c r="J24" s="99">
        <v>40695</v>
      </c>
      <c r="K24" s="87" t="s">
        <v>126</v>
      </c>
      <c r="L24" s="113"/>
      <c r="M24" s="11"/>
      <c r="N24" s="11"/>
      <c r="O24" s="11"/>
      <c r="P24" s="49"/>
      <c r="Q24" s="11"/>
      <c r="R24" s="11"/>
    </row>
    <row r="25" spans="1:18" ht="27.75" customHeight="1">
      <c r="A25" s="79">
        <v>10</v>
      </c>
      <c r="B25" s="107">
        <v>1</v>
      </c>
      <c r="C25" s="127" t="s">
        <v>84</v>
      </c>
      <c r="D25" s="120" t="s">
        <v>7</v>
      </c>
      <c r="E25" s="150">
        <f>'[1]2011 Кор'!$F$72*1000</f>
        <v>700800</v>
      </c>
      <c r="F25" s="95">
        <v>40848</v>
      </c>
      <c r="G25" s="95">
        <v>40878</v>
      </c>
      <c r="H25" s="92" t="s">
        <v>85</v>
      </c>
      <c r="I25" s="155" t="s">
        <v>14</v>
      </c>
      <c r="J25" s="95">
        <v>40848</v>
      </c>
      <c r="K25" s="87" t="s">
        <v>126</v>
      </c>
      <c r="L25" s="113"/>
      <c r="M25" s="11"/>
      <c r="N25" s="11"/>
      <c r="O25" s="11"/>
      <c r="P25" s="49"/>
      <c r="Q25" s="11"/>
      <c r="R25" s="11"/>
    </row>
    <row r="26" spans="1:18" ht="30" customHeight="1">
      <c r="A26" s="79">
        <v>11</v>
      </c>
      <c r="B26" s="81">
        <v>1</v>
      </c>
      <c r="C26" s="128" t="s">
        <v>83</v>
      </c>
      <c r="D26" s="120" t="s">
        <v>7</v>
      </c>
      <c r="E26" s="150">
        <f>'[1]2011 Кор'!$F$59*1000</f>
        <v>428000</v>
      </c>
      <c r="F26" s="94">
        <v>40695</v>
      </c>
      <c r="G26" s="95">
        <v>40817</v>
      </c>
      <c r="H26" s="92" t="s">
        <v>86</v>
      </c>
      <c r="I26" s="156" t="s">
        <v>14</v>
      </c>
      <c r="J26" s="99">
        <v>40695</v>
      </c>
      <c r="K26" s="87" t="s">
        <v>126</v>
      </c>
      <c r="L26" s="113"/>
      <c r="M26" s="11"/>
      <c r="N26" s="11"/>
      <c r="O26" s="11"/>
      <c r="P26" s="49"/>
      <c r="Q26" s="11"/>
      <c r="R26" s="11"/>
    </row>
    <row r="27" spans="1:18" ht="24.75" customHeight="1">
      <c r="A27" s="79">
        <v>12</v>
      </c>
      <c r="B27" s="81">
        <v>1</v>
      </c>
      <c r="C27" s="127" t="s">
        <v>88</v>
      </c>
      <c r="D27" s="120" t="s">
        <v>7</v>
      </c>
      <c r="E27" s="150">
        <f>'[1]2011 Кор'!$F$88*1000</f>
        <v>489000</v>
      </c>
      <c r="F27" s="95">
        <v>40848</v>
      </c>
      <c r="G27" s="95">
        <v>40878</v>
      </c>
      <c r="H27" s="92" t="s">
        <v>85</v>
      </c>
      <c r="I27" s="155" t="s">
        <v>14</v>
      </c>
      <c r="J27" s="95">
        <v>40848</v>
      </c>
      <c r="K27" s="87" t="s">
        <v>126</v>
      </c>
      <c r="L27" s="113"/>
      <c r="M27" s="11"/>
      <c r="N27" s="11"/>
      <c r="O27" s="11"/>
      <c r="P27" s="49"/>
      <c r="Q27" s="11"/>
      <c r="R27" s="11"/>
    </row>
    <row r="28" spans="1:18" ht="28.5" customHeight="1">
      <c r="A28" s="79">
        <v>13</v>
      </c>
      <c r="B28" s="81">
        <v>1</v>
      </c>
      <c r="C28" s="127" t="s">
        <v>87</v>
      </c>
      <c r="D28" s="120" t="s">
        <v>7</v>
      </c>
      <c r="E28" s="150">
        <f>'[1]2011 Кор'!$M$81*1000+1</f>
        <v>1272549.72</v>
      </c>
      <c r="F28" s="90">
        <v>40603</v>
      </c>
      <c r="G28" s="95">
        <v>40817</v>
      </c>
      <c r="H28" s="92" t="s">
        <v>85</v>
      </c>
      <c r="I28" s="146" t="s">
        <v>14</v>
      </c>
      <c r="J28" s="90">
        <v>40603</v>
      </c>
      <c r="K28" s="87" t="s">
        <v>126</v>
      </c>
      <c r="L28" s="113"/>
      <c r="M28" s="11"/>
      <c r="N28" s="11"/>
      <c r="O28" s="11"/>
      <c r="P28" s="49"/>
      <c r="Q28" s="11"/>
      <c r="R28" s="11"/>
    </row>
    <row r="29" spans="1:18" ht="30.75" customHeight="1">
      <c r="A29" s="79">
        <v>14</v>
      </c>
      <c r="B29" s="107">
        <v>1</v>
      </c>
      <c r="C29" s="128" t="s">
        <v>81</v>
      </c>
      <c r="D29" s="120" t="s">
        <v>7</v>
      </c>
      <c r="E29" s="149">
        <f>'[1]2011 Кор'!$F$47*1000</f>
        <v>730000</v>
      </c>
      <c r="F29" s="95">
        <v>40848</v>
      </c>
      <c r="G29" s="95">
        <v>40878</v>
      </c>
      <c r="H29" s="92" t="s">
        <v>110</v>
      </c>
      <c r="I29" s="155" t="s">
        <v>14</v>
      </c>
      <c r="J29" s="95">
        <v>40848</v>
      </c>
      <c r="K29" s="80" t="s">
        <v>126</v>
      </c>
      <c r="L29" s="113"/>
      <c r="M29" s="11"/>
      <c r="N29" s="11" t="s">
        <v>61</v>
      </c>
      <c r="O29" s="11"/>
      <c r="P29" s="49"/>
      <c r="Q29" s="11"/>
      <c r="R29" s="29"/>
    </row>
    <row r="30" spans="1:18" ht="23.25" customHeight="1">
      <c r="A30" s="97">
        <v>15</v>
      </c>
      <c r="B30" s="81">
        <v>1</v>
      </c>
      <c r="C30" s="128" t="s">
        <v>89</v>
      </c>
      <c r="D30" s="120" t="s">
        <v>7</v>
      </c>
      <c r="E30" s="149">
        <f>'[1]2011 Кор'!$F$93*1000</f>
        <v>347000</v>
      </c>
      <c r="F30" s="95">
        <v>40817</v>
      </c>
      <c r="G30" s="95">
        <v>40878</v>
      </c>
      <c r="H30" s="84" t="s">
        <v>85</v>
      </c>
      <c r="I30" s="146" t="s">
        <v>14</v>
      </c>
      <c r="J30" s="95">
        <v>40817</v>
      </c>
      <c r="K30" s="80" t="s">
        <v>126</v>
      </c>
      <c r="L30" s="113"/>
      <c r="M30" s="11"/>
      <c r="N30" s="11" t="s">
        <v>63</v>
      </c>
      <c r="O30" s="29" t="str">
        <f>H30</f>
        <v>Ковылкинское МО         </v>
      </c>
      <c r="P30" s="49"/>
      <c r="Q30" s="11"/>
      <c r="R30" s="29"/>
    </row>
    <row r="31" spans="1:21" ht="41.25" customHeight="1">
      <c r="A31" s="86">
        <v>16</v>
      </c>
      <c r="B31" s="81">
        <v>1</v>
      </c>
      <c r="C31" s="127" t="s">
        <v>90</v>
      </c>
      <c r="D31" s="120" t="s">
        <v>7</v>
      </c>
      <c r="E31" s="150">
        <f>'[1]2011 Кор'!$F$37*1000</f>
        <v>50000</v>
      </c>
      <c r="F31" s="82">
        <v>40664</v>
      </c>
      <c r="G31" s="99">
        <v>40664</v>
      </c>
      <c r="H31" s="84" t="s">
        <v>82</v>
      </c>
      <c r="I31" s="93" t="s">
        <v>10</v>
      </c>
      <c r="J31" s="82">
        <v>40664</v>
      </c>
      <c r="K31" s="80" t="s">
        <v>126</v>
      </c>
      <c r="L31" s="85"/>
      <c r="M31" s="68" t="s">
        <v>8</v>
      </c>
      <c r="N31" s="34" t="s">
        <v>9</v>
      </c>
      <c r="O31" s="50"/>
      <c r="P31" s="49"/>
      <c r="Q31" s="11"/>
      <c r="R31" s="29"/>
      <c r="S31" s="11"/>
      <c r="T31" s="11"/>
      <c r="U31" s="29"/>
    </row>
    <row r="32" spans="1:21" ht="25.5" customHeight="1">
      <c r="A32" s="97">
        <v>17</v>
      </c>
      <c r="B32" s="81">
        <v>1</v>
      </c>
      <c r="C32" s="127" t="s">
        <v>190</v>
      </c>
      <c r="D32" s="120" t="s">
        <v>7</v>
      </c>
      <c r="E32" s="150">
        <f>('[1]2011 Кор'!$F$54+'[1]2011 Кор'!$F$56)*1000</f>
        <v>100000</v>
      </c>
      <c r="F32" s="101">
        <v>40695</v>
      </c>
      <c r="G32" s="102">
        <v>40695</v>
      </c>
      <c r="H32" s="92" t="s">
        <v>91</v>
      </c>
      <c r="I32" s="103" t="s">
        <v>10</v>
      </c>
      <c r="J32" s="104">
        <v>40695</v>
      </c>
      <c r="K32" s="87" t="s">
        <v>126</v>
      </c>
      <c r="L32" s="105"/>
      <c r="M32" s="68"/>
      <c r="N32" s="34"/>
      <c r="O32" s="50"/>
      <c r="P32" s="49"/>
      <c r="Q32" s="11"/>
      <c r="R32" s="29"/>
      <c r="S32" s="11"/>
      <c r="T32" s="11"/>
      <c r="U32" s="29"/>
    </row>
    <row r="33" spans="1:21" ht="38.25" customHeight="1">
      <c r="A33" s="86">
        <v>18</v>
      </c>
      <c r="B33" s="81">
        <v>1</v>
      </c>
      <c r="C33" s="128" t="s">
        <v>151</v>
      </c>
      <c r="D33" s="120" t="s">
        <v>7</v>
      </c>
      <c r="E33" s="150">
        <f>'[1]2011 Кор'!$F$158*1000+26079</f>
        <v>187651.68000000002</v>
      </c>
      <c r="F33" s="90">
        <v>40544</v>
      </c>
      <c r="G33" s="96">
        <v>40908</v>
      </c>
      <c r="H33" s="84" t="s">
        <v>82</v>
      </c>
      <c r="I33" s="93" t="s">
        <v>10</v>
      </c>
      <c r="J33" s="91">
        <v>40544</v>
      </c>
      <c r="K33" s="87" t="s">
        <v>126</v>
      </c>
      <c r="L33" s="89"/>
      <c r="M33" s="68"/>
      <c r="N33" s="34"/>
      <c r="O33" s="50"/>
      <c r="P33" s="49"/>
      <c r="Q33" s="11"/>
      <c r="R33" s="29"/>
      <c r="S33" s="11"/>
      <c r="T33" s="11"/>
      <c r="U33" s="29"/>
    </row>
    <row r="34" spans="1:21" ht="41.25" customHeight="1">
      <c r="A34" s="86">
        <v>19</v>
      </c>
      <c r="B34" s="81">
        <v>1</v>
      </c>
      <c r="C34" s="128" t="s">
        <v>152</v>
      </c>
      <c r="D34" s="120" t="s">
        <v>7</v>
      </c>
      <c r="E34" s="150">
        <v>544000</v>
      </c>
      <c r="F34" s="90">
        <v>40544</v>
      </c>
      <c r="G34" s="96">
        <v>40908</v>
      </c>
      <c r="H34" s="92" t="s">
        <v>82</v>
      </c>
      <c r="I34" s="93" t="s">
        <v>10</v>
      </c>
      <c r="J34" s="91">
        <v>40544</v>
      </c>
      <c r="K34" s="106" t="s">
        <v>126</v>
      </c>
      <c r="L34" s="89"/>
      <c r="M34" s="68"/>
      <c r="N34" s="34"/>
      <c r="O34" s="50"/>
      <c r="P34" s="49"/>
      <c r="Q34" s="11"/>
      <c r="R34" s="29"/>
      <c r="S34" s="11"/>
      <c r="T34" s="11"/>
      <c r="U34" s="29"/>
    </row>
    <row r="35" spans="1:21" ht="27.75" customHeight="1">
      <c r="A35" s="86">
        <v>20</v>
      </c>
      <c r="B35" s="81">
        <v>1</v>
      </c>
      <c r="C35" s="128" t="s">
        <v>153</v>
      </c>
      <c r="D35" s="120" t="s">
        <v>7</v>
      </c>
      <c r="E35" s="150">
        <v>40000</v>
      </c>
      <c r="F35" s="90">
        <v>40544</v>
      </c>
      <c r="G35" s="96">
        <v>40908</v>
      </c>
      <c r="H35" s="92" t="s">
        <v>82</v>
      </c>
      <c r="I35" s="93" t="s">
        <v>10</v>
      </c>
      <c r="J35" s="91">
        <v>40544</v>
      </c>
      <c r="K35" s="87" t="s">
        <v>126</v>
      </c>
      <c r="L35" s="89"/>
      <c r="M35" s="68"/>
      <c r="N35" s="34"/>
      <c r="O35" s="50"/>
      <c r="P35" s="49"/>
      <c r="Q35" s="11"/>
      <c r="R35" s="29"/>
      <c r="S35" s="11"/>
      <c r="T35" s="11"/>
      <c r="U35" s="29"/>
    </row>
    <row r="36" spans="1:21" ht="27.75" customHeight="1">
      <c r="A36" s="86">
        <v>21</v>
      </c>
      <c r="B36" s="81">
        <v>1</v>
      </c>
      <c r="C36" s="128" t="s">
        <v>154</v>
      </c>
      <c r="D36" s="120" t="s">
        <v>7</v>
      </c>
      <c r="E36" s="150">
        <v>38300</v>
      </c>
      <c r="F36" s="90">
        <v>40544</v>
      </c>
      <c r="G36" s="96">
        <v>40908</v>
      </c>
      <c r="H36" s="84" t="s">
        <v>82</v>
      </c>
      <c r="I36" s="93" t="s">
        <v>10</v>
      </c>
      <c r="J36" s="91">
        <v>40544</v>
      </c>
      <c r="K36" s="87" t="s">
        <v>126</v>
      </c>
      <c r="L36" s="89"/>
      <c r="M36" s="68"/>
      <c r="N36" s="34"/>
      <c r="O36" s="50"/>
      <c r="P36" s="49"/>
      <c r="Q36" s="11"/>
      <c r="R36" s="29"/>
      <c r="S36" s="11"/>
      <c r="T36" s="11"/>
      <c r="U36" s="29"/>
    </row>
    <row r="37" spans="1:21" ht="25.5" customHeight="1">
      <c r="A37" s="86">
        <v>22</v>
      </c>
      <c r="B37" s="81">
        <v>1</v>
      </c>
      <c r="C37" s="128" t="s">
        <v>155</v>
      </c>
      <c r="D37" s="120" t="s">
        <v>7</v>
      </c>
      <c r="E37" s="150">
        <v>80000</v>
      </c>
      <c r="F37" s="90">
        <v>40544</v>
      </c>
      <c r="G37" s="96">
        <v>40908</v>
      </c>
      <c r="H37" s="92" t="s">
        <v>82</v>
      </c>
      <c r="I37" s="93" t="s">
        <v>10</v>
      </c>
      <c r="J37" s="91">
        <v>40544</v>
      </c>
      <c r="K37" s="87" t="s">
        <v>126</v>
      </c>
      <c r="L37" s="89"/>
      <c r="M37" s="68"/>
      <c r="N37" s="34"/>
      <c r="O37" s="50"/>
      <c r="P37" s="49"/>
      <c r="Q37" s="11"/>
      <c r="R37" s="29"/>
      <c r="S37" s="11"/>
      <c r="T37" s="11"/>
      <c r="U37" s="29"/>
    </row>
    <row r="38" spans="1:21" ht="26.25" customHeight="1" thickBot="1">
      <c r="A38" s="86">
        <v>23</v>
      </c>
      <c r="B38" s="81">
        <v>1</v>
      </c>
      <c r="C38" s="128" t="s">
        <v>156</v>
      </c>
      <c r="D38" s="107" t="s">
        <v>7</v>
      </c>
      <c r="E38" s="149">
        <v>400000</v>
      </c>
      <c r="F38" s="90">
        <v>40544</v>
      </c>
      <c r="G38" s="96">
        <v>40908</v>
      </c>
      <c r="H38" s="92" t="s">
        <v>82</v>
      </c>
      <c r="I38" s="107" t="s">
        <v>10</v>
      </c>
      <c r="J38" s="91">
        <v>40544</v>
      </c>
      <c r="K38" s="93" t="s">
        <v>126</v>
      </c>
      <c r="L38" s="89"/>
      <c r="M38" s="68" t="s">
        <v>8</v>
      </c>
      <c r="N38" s="34" t="s">
        <v>9</v>
      </c>
      <c r="O38" s="50"/>
      <c r="P38" s="49"/>
      <c r="Q38" s="11"/>
      <c r="R38" s="11"/>
      <c r="S38" s="11"/>
      <c r="T38" s="11"/>
      <c r="U38" s="29"/>
    </row>
    <row r="39" spans="1:16" ht="25.5" customHeight="1" thickBot="1">
      <c r="A39" s="79">
        <v>24</v>
      </c>
      <c r="B39" s="121">
        <v>1</v>
      </c>
      <c r="C39" s="127" t="s">
        <v>192</v>
      </c>
      <c r="D39" s="120" t="s">
        <v>12</v>
      </c>
      <c r="E39" s="150">
        <f>'[2]ИП-план'!$K$21*1000</f>
        <v>464175.08999999997</v>
      </c>
      <c r="F39" s="82">
        <v>40664</v>
      </c>
      <c r="G39" s="99">
        <v>40664</v>
      </c>
      <c r="H39" s="84" t="s">
        <v>82</v>
      </c>
      <c r="I39" s="146" t="s">
        <v>267</v>
      </c>
      <c r="J39" s="83">
        <v>40664</v>
      </c>
      <c r="K39" s="81" t="s">
        <v>193</v>
      </c>
      <c r="L39" s="85"/>
      <c r="M39" s="74"/>
      <c r="N39" s="14"/>
      <c r="O39" s="53"/>
      <c r="P39" s="61"/>
    </row>
    <row r="40" spans="1:16" ht="33" customHeight="1" thickBot="1">
      <c r="A40" s="79"/>
      <c r="B40" s="121">
        <v>2</v>
      </c>
      <c r="C40" s="127" t="s">
        <v>191</v>
      </c>
      <c r="D40" s="120" t="s">
        <v>12</v>
      </c>
      <c r="E40" s="150">
        <v>540000</v>
      </c>
      <c r="F40" s="82">
        <v>40664</v>
      </c>
      <c r="G40" s="99">
        <v>40664</v>
      </c>
      <c r="H40" s="84" t="s">
        <v>82</v>
      </c>
      <c r="I40" s="146" t="s">
        <v>267</v>
      </c>
      <c r="J40" s="83">
        <v>40664</v>
      </c>
      <c r="K40" s="81" t="s">
        <v>145</v>
      </c>
      <c r="L40" s="85" t="s">
        <v>269</v>
      </c>
      <c r="M40" s="74"/>
      <c r="N40" s="14"/>
      <c r="O40" s="53"/>
      <c r="P40" s="61"/>
    </row>
    <row r="41" spans="1:16" ht="24.75" customHeight="1">
      <c r="A41" s="108">
        <v>25</v>
      </c>
      <c r="B41" s="122">
        <v>1</v>
      </c>
      <c r="C41" s="129" t="s">
        <v>127</v>
      </c>
      <c r="D41" s="107" t="s">
        <v>39</v>
      </c>
      <c r="E41" s="149">
        <f>('[2]ИП-план'!$K$36+'[2]ИП-план'!$K$37)*1000</f>
        <v>1497000</v>
      </c>
      <c r="F41" s="90">
        <v>40848</v>
      </c>
      <c r="G41" s="99">
        <v>40878</v>
      </c>
      <c r="H41" s="84" t="s">
        <v>82</v>
      </c>
      <c r="I41" s="146" t="s">
        <v>267</v>
      </c>
      <c r="J41" s="91">
        <v>40848</v>
      </c>
      <c r="K41" s="88" t="s">
        <v>128</v>
      </c>
      <c r="L41" s="109"/>
      <c r="M41" s="75"/>
      <c r="N41" s="24"/>
      <c r="O41" s="67"/>
      <c r="P41" s="61"/>
    </row>
    <row r="42" spans="1:21" ht="65.25" customHeight="1">
      <c r="A42" s="86">
        <v>26</v>
      </c>
      <c r="B42" s="122">
        <v>1</v>
      </c>
      <c r="C42" s="128" t="s">
        <v>122</v>
      </c>
      <c r="D42" s="107" t="s">
        <v>12</v>
      </c>
      <c r="E42" s="149">
        <f>'[2]ИП-план'!$K$30*1000+60600+207</f>
        <v>984999.72</v>
      </c>
      <c r="F42" s="82">
        <v>40544</v>
      </c>
      <c r="G42" s="96">
        <v>40695</v>
      </c>
      <c r="H42" s="84" t="s">
        <v>82</v>
      </c>
      <c r="I42" s="80" t="s">
        <v>10</v>
      </c>
      <c r="J42" s="82">
        <v>40544</v>
      </c>
      <c r="K42" s="88" t="s">
        <v>196</v>
      </c>
      <c r="L42" s="109" t="s">
        <v>170</v>
      </c>
      <c r="M42" s="39" t="s">
        <v>8</v>
      </c>
      <c r="N42" s="35" t="s">
        <v>37</v>
      </c>
      <c r="O42" s="51"/>
      <c r="P42" s="61"/>
      <c r="Q42" s="11"/>
      <c r="R42" s="11"/>
      <c r="S42" s="11"/>
      <c r="T42" s="11"/>
      <c r="U42" s="11"/>
    </row>
    <row r="43" spans="1:21" ht="65.25" customHeight="1">
      <c r="A43" s="86">
        <v>27</v>
      </c>
      <c r="B43" s="122">
        <v>1</v>
      </c>
      <c r="C43" s="128" t="s">
        <v>271</v>
      </c>
      <c r="D43" s="107" t="s">
        <v>270</v>
      </c>
      <c r="E43" s="149">
        <v>97000</v>
      </c>
      <c r="F43" s="82">
        <v>40544</v>
      </c>
      <c r="G43" s="96">
        <v>40695</v>
      </c>
      <c r="H43" s="84" t="s">
        <v>82</v>
      </c>
      <c r="I43" s="80" t="s">
        <v>10</v>
      </c>
      <c r="J43" s="82">
        <v>40544</v>
      </c>
      <c r="K43" s="88" t="s">
        <v>272</v>
      </c>
      <c r="L43" s="109"/>
      <c r="M43" s="39" t="s">
        <v>8</v>
      </c>
      <c r="N43" s="35" t="s">
        <v>37</v>
      </c>
      <c r="O43" s="51"/>
      <c r="P43" s="61"/>
      <c r="Q43" s="11"/>
      <c r="R43" s="11"/>
      <c r="S43" s="11"/>
      <c r="T43" s="11"/>
      <c r="U43" s="11"/>
    </row>
    <row r="44" spans="1:21" ht="33.75" customHeight="1">
      <c r="A44" s="86">
        <v>28</v>
      </c>
      <c r="B44" s="122">
        <v>1</v>
      </c>
      <c r="C44" s="129" t="s">
        <v>130</v>
      </c>
      <c r="D44" s="103" t="s">
        <v>39</v>
      </c>
      <c r="E44" s="149">
        <f>'[2]ИП-план'!$K$40*1000</f>
        <v>1035000</v>
      </c>
      <c r="F44" s="82">
        <v>40817</v>
      </c>
      <c r="G44" s="96">
        <v>40908</v>
      </c>
      <c r="H44" s="84" t="s">
        <v>82</v>
      </c>
      <c r="I44" s="146" t="s">
        <v>171</v>
      </c>
      <c r="J44" s="91">
        <v>40908</v>
      </c>
      <c r="K44" s="88" t="s">
        <v>131</v>
      </c>
      <c r="L44" s="89"/>
      <c r="M44" s="39"/>
      <c r="N44" s="35"/>
      <c r="O44" s="51"/>
      <c r="P44" s="61"/>
      <c r="Q44" s="11"/>
      <c r="R44" s="11"/>
      <c r="S44" s="11"/>
      <c r="T44" s="11"/>
      <c r="U44" s="11"/>
    </row>
    <row r="45" spans="1:21" ht="41.25" customHeight="1">
      <c r="A45" s="86">
        <v>29</v>
      </c>
      <c r="B45" s="122">
        <v>1</v>
      </c>
      <c r="C45" s="129" t="s">
        <v>197</v>
      </c>
      <c r="D45" s="107" t="s">
        <v>39</v>
      </c>
      <c r="E45" s="149">
        <v>1270500</v>
      </c>
      <c r="F45" s="82">
        <v>40695</v>
      </c>
      <c r="G45" s="96">
        <v>40908</v>
      </c>
      <c r="H45" s="84" t="s">
        <v>82</v>
      </c>
      <c r="I45" s="146" t="s">
        <v>14</v>
      </c>
      <c r="J45" s="82">
        <v>40725</v>
      </c>
      <c r="K45" s="88" t="s">
        <v>132</v>
      </c>
      <c r="L45" s="89"/>
      <c r="M45" s="39"/>
      <c r="N45" s="35"/>
      <c r="O45" s="51"/>
      <c r="P45" s="61"/>
      <c r="Q45" s="11"/>
      <c r="R45" s="11"/>
      <c r="S45" s="11"/>
      <c r="T45" s="11"/>
      <c r="U45" s="11"/>
    </row>
    <row r="46" spans="1:21" ht="31.5" customHeight="1">
      <c r="A46" s="86"/>
      <c r="B46" s="122">
        <v>2</v>
      </c>
      <c r="C46" s="129" t="s">
        <v>195</v>
      </c>
      <c r="D46" s="107" t="s">
        <v>39</v>
      </c>
      <c r="E46" s="149">
        <v>29600297</v>
      </c>
      <c r="F46" s="82">
        <v>40695</v>
      </c>
      <c r="G46" s="96">
        <v>41121</v>
      </c>
      <c r="H46" s="84" t="s">
        <v>82</v>
      </c>
      <c r="I46" s="146" t="s">
        <v>14</v>
      </c>
      <c r="J46" s="82">
        <v>40695</v>
      </c>
      <c r="K46" s="88" t="s">
        <v>132</v>
      </c>
      <c r="L46" s="89"/>
      <c r="M46" s="39"/>
      <c r="N46" s="35"/>
      <c r="O46" s="51"/>
      <c r="P46" s="61"/>
      <c r="Q46" s="11"/>
      <c r="R46" s="11"/>
      <c r="S46" s="11"/>
      <c r="T46" s="11"/>
      <c r="U46" s="11"/>
    </row>
    <row r="47" spans="1:21" ht="22.5" customHeight="1">
      <c r="A47" s="86">
        <v>30</v>
      </c>
      <c r="B47" s="122">
        <v>1</v>
      </c>
      <c r="C47" s="129" t="s">
        <v>194</v>
      </c>
      <c r="D47" s="103" t="s">
        <v>12</v>
      </c>
      <c r="E47" s="149">
        <v>847380</v>
      </c>
      <c r="F47" s="90">
        <v>40634</v>
      </c>
      <c r="G47" s="99">
        <v>40634</v>
      </c>
      <c r="H47" s="84" t="s">
        <v>82</v>
      </c>
      <c r="I47" s="146" t="s">
        <v>14</v>
      </c>
      <c r="J47" s="90">
        <v>40634</v>
      </c>
      <c r="K47" s="88" t="s">
        <v>129</v>
      </c>
      <c r="L47" s="112"/>
      <c r="M47" s="39"/>
      <c r="N47" s="35"/>
      <c r="O47" s="51"/>
      <c r="P47" s="61"/>
      <c r="Q47" s="11"/>
      <c r="R47" s="11"/>
      <c r="S47" s="11"/>
      <c r="T47" s="11"/>
      <c r="U47" s="11"/>
    </row>
    <row r="48" spans="1:21" ht="23.25" customHeight="1">
      <c r="A48" s="86">
        <v>31</v>
      </c>
      <c r="B48" s="122">
        <v>1</v>
      </c>
      <c r="C48" s="128" t="s">
        <v>199</v>
      </c>
      <c r="D48" s="107" t="s">
        <v>12</v>
      </c>
      <c r="E48" s="149">
        <f>435000/1.18+0.6</f>
        <v>368644.66779661016</v>
      </c>
      <c r="F48" s="90">
        <v>40603</v>
      </c>
      <c r="G48" s="98">
        <v>40603</v>
      </c>
      <c r="H48" s="92" t="s">
        <v>82</v>
      </c>
      <c r="I48" s="146" t="s">
        <v>14</v>
      </c>
      <c r="J48" s="91">
        <v>40603</v>
      </c>
      <c r="K48" s="88" t="s">
        <v>129</v>
      </c>
      <c r="L48" s="133"/>
      <c r="M48" s="39"/>
      <c r="N48" s="35"/>
      <c r="O48" s="51"/>
      <c r="P48" s="61"/>
      <c r="Q48" s="11"/>
      <c r="R48" s="11"/>
      <c r="S48" s="11"/>
      <c r="T48" s="11"/>
      <c r="U48" s="11"/>
    </row>
    <row r="49" spans="1:21" ht="23.25" customHeight="1">
      <c r="A49" s="86"/>
      <c r="B49" s="122">
        <v>2</v>
      </c>
      <c r="C49" s="128" t="s">
        <v>198</v>
      </c>
      <c r="D49" s="107" t="s">
        <v>12</v>
      </c>
      <c r="E49" s="149">
        <f>870000/1.18</f>
        <v>737288.1355932204</v>
      </c>
      <c r="F49" s="90">
        <v>40603</v>
      </c>
      <c r="G49" s="98">
        <v>40603</v>
      </c>
      <c r="H49" s="92" t="s">
        <v>82</v>
      </c>
      <c r="I49" s="146" t="s">
        <v>14</v>
      </c>
      <c r="J49" s="91">
        <v>40603</v>
      </c>
      <c r="K49" s="88" t="s">
        <v>129</v>
      </c>
      <c r="L49" s="133"/>
      <c r="M49" s="39"/>
      <c r="N49" s="35"/>
      <c r="O49" s="51"/>
      <c r="P49" s="61"/>
      <c r="Q49" s="11"/>
      <c r="R49" s="11"/>
      <c r="S49" s="11"/>
      <c r="T49" s="11"/>
      <c r="U49" s="11"/>
    </row>
    <row r="50" spans="1:21" ht="25.5" customHeight="1" thickBot="1">
      <c r="A50" s="86">
        <v>32</v>
      </c>
      <c r="B50" s="122">
        <v>1</v>
      </c>
      <c r="C50" s="128" t="s">
        <v>200</v>
      </c>
      <c r="D50" s="107" t="s">
        <v>12</v>
      </c>
      <c r="E50" s="149">
        <f>834000/1.18</f>
        <v>706779.6610169492</v>
      </c>
      <c r="F50" s="90">
        <v>40603</v>
      </c>
      <c r="G50" s="98">
        <v>40603</v>
      </c>
      <c r="H50" s="92" t="s">
        <v>82</v>
      </c>
      <c r="I50" s="146" t="s">
        <v>14</v>
      </c>
      <c r="J50" s="91">
        <v>40603</v>
      </c>
      <c r="K50" s="88" t="s">
        <v>129</v>
      </c>
      <c r="L50" s="112"/>
      <c r="M50" s="39" t="s">
        <v>8</v>
      </c>
      <c r="N50" s="35" t="s">
        <v>55</v>
      </c>
      <c r="O50" s="51"/>
      <c r="P50" s="61"/>
      <c r="Q50" s="11"/>
      <c r="R50" s="11"/>
      <c r="S50" s="11"/>
      <c r="T50" s="11"/>
      <c r="U50" s="29"/>
    </row>
    <row r="51" spans="1:21" ht="24" customHeight="1" thickBot="1">
      <c r="A51" s="86">
        <v>33</v>
      </c>
      <c r="B51" s="123">
        <v>1</v>
      </c>
      <c r="C51" s="127" t="s">
        <v>123</v>
      </c>
      <c r="D51" s="120" t="s">
        <v>12</v>
      </c>
      <c r="E51" s="150">
        <v>17500</v>
      </c>
      <c r="F51" s="82">
        <v>40575</v>
      </c>
      <c r="G51" s="95">
        <v>40575</v>
      </c>
      <c r="H51" s="84" t="s">
        <v>82</v>
      </c>
      <c r="I51" s="80" t="s">
        <v>10</v>
      </c>
      <c r="J51" s="83">
        <v>40575</v>
      </c>
      <c r="K51" s="88" t="s">
        <v>273</v>
      </c>
      <c r="L51" s="85"/>
      <c r="M51" s="76"/>
      <c r="N51" s="12"/>
      <c r="O51" s="54"/>
      <c r="P51" s="61"/>
      <c r="Q51" s="11"/>
      <c r="R51" s="11"/>
      <c r="S51" s="11"/>
      <c r="T51" s="11"/>
      <c r="U51" s="29"/>
    </row>
    <row r="52" spans="1:21" ht="24.75" customHeight="1">
      <c r="A52" s="86">
        <v>34</v>
      </c>
      <c r="B52" s="124">
        <v>1</v>
      </c>
      <c r="C52" s="129" t="s">
        <v>124</v>
      </c>
      <c r="D52" s="107" t="s">
        <v>12</v>
      </c>
      <c r="E52" s="149">
        <f>'[2]ИП-план'!$K$33*1000</f>
        <v>41610.17</v>
      </c>
      <c r="F52" s="82">
        <v>40575</v>
      </c>
      <c r="G52" s="95">
        <v>40575</v>
      </c>
      <c r="H52" s="84" t="s">
        <v>82</v>
      </c>
      <c r="I52" s="87" t="s">
        <v>10</v>
      </c>
      <c r="J52" s="82">
        <v>40575</v>
      </c>
      <c r="K52" s="88" t="s">
        <v>125</v>
      </c>
      <c r="L52" s="89"/>
      <c r="M52" s="77" t="s">
        <v>8</v>
      </c>
      <c r="N52" s="15" t="s">
        <v>9</v>
      </c>
      <c r="O52" s="38"/>
      <c r="P52" s="61"/>
      <c r="Q52" s="11"/>
      <c r="R52" s="11"/>
      <c r="S52" s="11"/>
      <c r="T52" s="11"/>
      <c r="U52" s="29"/>
    </row>
    <row r="53" spans="1:21" ht="24.75" customHeight="1">
      <c r="A53" s="108">
        <v>35</v>
      </c>
      <c r="B53" s="134">
        <v>1</v>
      </c>
      <c r="C53" s="129" t="s">
        <v>201</v>
      </c>
      <c r="D53" s="107" t="s">
        <v>12</v>
      </c>
      <c r="E53" s="149">
        <f>'[2]ИП-план'!$AF$24*1000</f>
        <v>143000</v>
      </c>
      <c r="F53" s="82">
        <v>40787</v>
      </c>
      <c r="G53" s="95">
        <v>40848</v>
      </c>
      <c r="H53" s="84" t="s">
        <v>82</v>
      </c>
      <c r="I53" s="87" t="s">
        <v>10</v>
      </c>
      <c r="J53" s="82">
        <v>40787</v>
      </c>
      <c r="K53" s="81" t="s">
        <v>263</v>
      </c>
      <c r="L53" s="85"/>
      <c r="M53" s="135"/>
      <c r="N53" s="136"/>
      <c r="O53" s="137"/>
      <c r="P53" s="61"/>
      <c r="Q53" s="11"/>
      <c r="R53" s="11"/>
      <c r="S53" s="11"/>
      <c r="T53" s="11"/>
      <c r="U53" s="29"/>
    </row>
    <row r="54" spans="1:16" ht="53.25" customHeight="1">
      <c r="A54" s="108">
        <v>36</v>
      </c>
      <c r="B54" s="125">
        <v>1</v>
      </c>
      <c r="C54" s="128" t="s">
        <v>134</v>
      </c>
      <c r="D54" s="107" t="s">
        <v>39</v>
      </c>
      <c r="E54" s="149">
        <v>8778000</v>
      </c>
      <c r="F54" s="90">
        <v>40787</v>
      </c>
      <c r="G54" s="96">
        <v>40908</v>
      </c>
      <c r="H54" s="92" t="s">
        <v>111</v>
      </c>
      <c r="I54" s="146" t="s">
        <v>14</v>
      </c>
      <c r="J54" s="90">
        <v>40787</v>
      </c>
      <c r="K54" s="88" t="s">
        <v>133</v>
      </c>
      <c r="L54" s="113"/>
      <c r="M54" s="75"/>
      <c r="N54" s="24"/>
      <c r="O54" s="60"/>
      <c r="P54" s="61"/>
    </row>
    <row r="55" spans="1:16" ht="51" customHeight="1">
      <c r="A55" s="108">
        <v>37</v>
      </c>
      <c r="B55" s="125">
        <v>1</v>
      </c>
      <c r="C55" s="128" t="s">
        <v>135</v>
      </c>
      <c r="D55" s="107" t="s">
        <v>39</v>
      </c>
      <c r="E55" s="149">
        <f>'[2]ИП-план'!$K$74*1000</f>
        <v>1700000</v>
      </c>
      <c r="F55" s="90">
        <v>40817</v>
      </c>
      <c r="G55" s="96">
        <v>40908</v>
      </c>
      <c r="H55" s="92" t="s">
        <v>111</v>
      </c>
      <c r="I55" s="146" t="s">
        <v>14</v>
      </c>
      <c r="J55" s="90">
        <v>40817</v>
      </c>
      <c r="K55" s="88" t="s">
        <v>136</v>
      </c>
      <c r="L55" s="113"/>
      <c r="M55" s="75"/>
      <c r="N55" s="24"/>
      <c r="O55" s="60"/>
      <c r="P55" s="61"/>
    </row>
    <row r="56" spans="1:16" ht="41.25" customHeight="1">
      <c r="A56" s="108">
        <v>38</v>
      </c>
      <c r="B56" s="125">
        <v>1</v>
      </c>
      <c r="C56" s="128" t="s">
        <v>202</v>
      </c>
      <c r="D56" s="107" t="s">
        <v>39</v>
      </c>
      <c r="E56" s="149">
        <f>'[2]ИП-план'!$K$77*1000</f>
        <v>450000</v>
      </c>
      <c r="F56" s="90">
        <v>40817</v>
      </c>
      <c r="G56" s="96">
        <v>40908</v>
      </c>
      <c r="H56" s="92" t="s">
        <v>111</v>
      </c>
      <c r="I56" s="146" t="s">
        <v>14</v>
      </c>
      <c r="J56" s="90">
        <v>40817</v>
      </c>
      <c r="K56" s="88" t="s">
        <v>137</v>
      </c>
      <c r="L56" s="113"/>
      <c r="M56" s="75"/>
      <c r="N56" s="24"/>
      <c r="O56" s="60"/>
      <c r="P56" s="61"/>
    </row>
    <row r="57" spans="1:16" ht="42" customHeight="1">
      <c r="A57" s="108">
        <v>39</v>
      </c>
      <c r="B57" s="125">
        <v>1</v>
      </c>
      <c r="C57" s="128" t="s">
        <v>203</v>
      </c>
      <c r="D57" s="107" t="s">
        <v>39</v>
      </c>
      <c r="E57" s="149">
        <f>'[2]ИП-план'!$K$80*1000</f>
        <v>450000</v>
      </c>
      <c r="F57" s="90">
        <v>40817</v>
      </c>
      <c r="G57" s="96">
        <v>40908</v>
      </c>
      <c r="H57" s="92" t="s">
        <v>110</v>
      </c>
      <c r="I57" s="146" t="s">
        <v>14</v>
      </c>
      <c r="J57" s="90">
        <v>40817</v>
      </c>
      <c r="K57" s="88" t="s">
        <v>138</v>
      </c>
      <c r="L57" s="113"/>
      <c r="M57" s="75"/>
      <c r="N57" s="24"/>
      <c r="O57" s="60"/>
      <c r="P57" s="61"/>
    </row>
    <row r="58" spans="1:16" ht="38.25" customHeight="1">
      <c r="A58" s="108">
        <v>40</v>
      </c>
      <c r="B58" s="125">
        <v>1</v>
      </c>
      <c r="C58" s="128" t="s">
        <v>204</v>
      </c>
      <c r="D58" s="107" t="s">
        <v>39</v>
      </c>
      <c r="E58" s="149">
        <f>'[2]ИП-план'!$K$83*1000</f>
        <v>450000</v>
      </c>
      <c r="F58" s="90">
        <v>40817</v>
      </c>
      <c r="G58" s="96">
        <v>40908</v>
      </c>
      <c r="H58" s="92" t="s">
        <v>110</v>
      </c>
      <c r="I58" s="146" t="s">
        <v>14</v>
      </c>
      <c r="J58" s="90">
        <v>40817</v>
      </c>
      <c r="K58" s="88" t="s">
        <v>139</v>
      </c>
      <c r="L58" s="113"/>
      <c r="M58" s="75"/>
      <c r="N58" s="24"/>
      <c r="O58" s="60"/>
      <c r="P58" s="61"/>
    </row>
    <row r="59" spans="1:16" ht="43.5" customHeight="1">
      <c r="A59" s="108">
        <v>41</v>
      </c>
      <c r="B59" s="122">
        <v>1</v>
      </c>
      <c r="C59" s="128" t="s">
        <v>205</v>
      </c>
      <c r="D59" s="107" t="s">
        <v>39</v>
      </c>
      <c r="E59" s="149">
        <f>'[2]ИП-план'!$K$86*1000</f>
        <v>450000</v>
      </c>
      <c r="F59" s="90">
        <v>40817</v>
      </c>
      <c r="G59" s="96">
        <v>40908</v>
      </c>
      <c r="H59" s="92" t="s">
        <v>110</v>
      </c>
      <c r="I59" s="146" t="s">
        <v>14</v>
      </c>
      <c r="J59" s="90">
        <v>40817</v>
      </c>
      <c r="K59" s="88" t="s">
        <v>140</v>
      </c>
      <c r="L59" s="113"/>
      <c r="M59" s="75"/>
      <c r="N59" s="24"/>
      <c r="O59" s="60"/>
      <c r="P59" s="61"/>
    </row>
    <row r="60" spans="1:16" ht="32.25" customHeight="1" thickBot="1">
      <c r="A60" s="86">
        <v>42</v>
      </c>
      <c r="B60" s="81">
        <v>1</v>
      </c>
      <c r="C60" s="128" t="s">
        <v>40</v>
      </c>
      <c r="D60" s="107" t="s">
        <v>7</v>
      </c>
      <c r="E60" s="149">
        <v>2750000</v>
      </c>
      <c r="F60" s="91">
        <v>40909</v>
      </c>
      <c r="G60" s="96">
        <v>41244</v>
      </c>
      <c r="H60" s="92" t="s">
        <v>82</v>
      </c>
      <c r="I60" s="146" t="s">
        <v>259</v>
      </c>
      <c r="J60" s="91">
        <v>40878</v>
      </c>
      <c r="K60" s="87" t="s">
        <v>94</v>
      </c>
      <c r="L60" s="145"/>
      <c r="M60" s="78"/>
      <c r="N60" s="23"/>
      <c r="O60" s="55"/>
      <c r="P60" s="61"/>
    </row>
    <row r="61" spans="1:21" ht="31.5">
      <c r="A61" s="86"/>
      <c r="B61" s="81">
        <v>2</v>
      </c>
      <c r="C61" s="128" t="s">
        <v>41</v>
      </c>
      <c r="D61" s="107" t="s">
        <v>7</v>
      </c>
      <c r="E61" s="149">
        <f>826000*1.1</f>
        <v>908600.0000000001</v>
      </c>
      <c r="F61" s="91">
        <v>40909</v>
      </c>
      <c r="G61" s="96">
        <v>41244</v>
      </c>
      <c r="H61" s="92" t="s">
        <v>112</v>
      </c>
      <c r="I61" s="146" t="s">
        <v>259</v>
      </c>
      <c r="J61" s="91">
        <v>40878</v>
      </c>
      <c r="K61" s="87" t="s">
        <v>94</v>
      </c>
      <c r="L61" s="145"/>
      <c r="M61" s="39" t="s">
        <v>8</v>
      </c>
      <c r="N61" s="35" t="s">
        <v>15</v>
      </c>
      <c r="O61" s="51"/>
      <c r="P61" s="49"/>
      <c r="Q61" s="11"/>
      <c r="R61" s="11"/>
      <c r="S61" s="11"/>
      <c r="T61" s="11"/>
      <c r="U61" s="11"/>
    </row>
    <row r="62" spans="1:21" ht="38.25" customHeight="1">
      <c r="A62" s="86"/>
      <c r="B62" s="81">
        <v>3</v>
      </c>
      <c r="C62" s="128" t="s">
        <v>42</v>
      </c>
      <c r="D62" s="107" t="s">
        <v>7</v>
      </c>
      <c r="E62" s="149">
        <f>810000*1.1</f>
        <v>891000.0000000001</v>
      </c>
      <c r="F62" s="91">
        <v>40909</v>
      </c>
      <c r="G62" s="96">
        <v>41244</v>
      </c>
      <c r="H62" s="92" t="s">
        <v>113</v>
      </c>
      <c r="I62" s="146" t="s">
        <v>259</v>
      </c>
      <c r="J62" s="91">
        <v>40878</v>
      </c>
      <c r="K62" s="87" t="s">
        <v>94</v>
      </c>
      <c r="L62" s="145"/>
      <c r="M62" s="39" t="s">
        <v>8</v>
      </c>
      <c r="N62" s="35" t="s">
        <v>15</v>
      </c>
      <c r="O62" s="51"/>
      <c r="P62" s="49"/>
      <c r="Q62" s="11"/>
      <c r="R62" s="11"/>
      <c r="S62" s="11"/>
      <c r="T62" s="11"/>
      <c r="U62" s="11"/>
    </row>
    <row r="63" spans="1:21" ht="41.25" customHeight="1">
      <c r="A63" s="86"/>
      <c r="B63" s="81">
        <v>4</v>
      </c>
      <c r="C63" s="128" t="s">
        <v>264</v>
      </c>
      <c r="D63" s="107" t="s">
        <v>7</v>
      </c>
      <c r="E63" s="149">
        <f>840000*1.1</f>
        <v>924000.0000000001</v>
      </c>
      <c r="F63" s="91">
        <v>40909</v>
      </c>
      <c r="G63" s="96">
        <v>41244</v>
      </c>
      <c r="H63" s="92" t="s">
        <v>111</v>
      </c>
      <c r="I63" s="146" t="s">
        <v>259</v>
      </c>
      <c r="J63" s="91">
        <v>40878</v>
      </c>
      <c r="K63" s="87" t="s">
        <v>94</v>
      </c>
      <c r="L63" s="145"/>
      <c r="M63" s="39" t="s">
        <v>8</v>
      </c>
      <c r="N63" s="35" t="s">
        <v>15</v>
      </c>
      <c r="O63" s="51"/>
      <c r="P63" s="49"/>
      <c r="Q63" s="11"/>
      <c r="R63" s="11"/>
      <c r="S63" s="11"/>
      <c r="T63" s="11"/>
      <c r="U63" s="29"/>
    </row>
    <row r="64" spans="1:21" ht="27" customHeight="1">
      <c r="A64" s="86">
        <v>43</v>
      </c>
      <c r="B64" s="122">
        <v>1</v>
      </c>
      <c r="C64" s="128" t="s">
        <v>18</v>
      </c>
      <c r="D64" s="107" t="s">
        <v>7</v>
      </c>
      <c r="E64" s="149">
        <f>'[3]TDSheet'!$H$17+80000*4+1</f>
        <v>877459.98</v>
      </c>
      <c r="F64" s="96">
        <v>40544</v>
      </c>
      <c r="G64" s="111">
        <v>40878</v>
      </c>
      <c r="H64" s="92" t="s">
        <v>82</v>
      </c>
      <c r="I64" s="87" t="s">
        <v>10</v>
      </c>
      <c r="J64" s="96">
        <v>40544</v>
      </c>
      <c r="K64" s="87" t="s">
        <v>145</v>
      </c>
      <c r="L64" s="89" t="s">
        <v>206</v>
      </c>
      <c r="M64" s="39" t="s">
        <v>8</v>
      </c>
      <c r="N64" s="35" t="s">
        <v>15</v>
      </c>
      <c r="O64" s="51"/>
      <c r="P64" s="49"/>
      <c r="Q64" s="11"/>
      <c r="R64" s="29"/>
      <c r="S64" s="11"/>
      <c r="T64" s="11"/>
      <c r="U64" s="29"/>
    </row>
    <row r="65" spans="1:21" ht="63.75" customHeight="1">
      <c r="A65" s="79">
        <v>44</v>
      </c>
      <c r="B65" s="122">
        <v>1</v>
      </c>
      <c r="C65" s="128" t="s">
        <v>160</v>
      </c>
      <c r="D65" s="107" t="s">
        <v>7</v>
      </c>
      <c r="E65" s="149">
        <v>2124000</v>
      </c>
      <c r="F65" s="104">
        <v>40544</v>
      </c>
      <c r="G65" s="111">
        <v>40878</v>
      </c>
      <c r="H65" s="92" t="s">
        <v>82</v>
      </c>
      <c r="I65" s="146" t="s">
        <v>14</v>
      </c>
      <c r="J65" s="83">
        <v>40544</v>
      </c>
      <c r="K65" s="87" t="s">
        <v>145</v>
      </c>
      <c r="L65" s="89" t="s">
        <v>277</v>
      </c>
      <c r="M65" s="39"/>
      <c r="N65" s="35"/>
      <c r="O65" s="51"/>
      <c r="P65" s="49"/>
      <c r="Q65" s="11"/>
      <c r="R65" s="29"/>
      <c r="S65" s="11"/>
      <c r="T65" s="11"/>
      <c r="U65" s="29"/>
    </row>
    <row r="66" spans="1:21" ht="24" customHeight="1">
      <c r="A66" s="79">
        <v>45</v>
      </c>
      <c r="B66" s="81">
        <v>1</v>
      </c>
      <c r="C66" s="127" t="s">
        <v>147</v>
      </c>
      <c r="D66" s="120" t="s">
        <v>7</v>
      </c>
      <c r="E66" s="150">
        <v>56830</v>
      </c>
      <c r="F66" s="91">
        <v>40909</v>
      </c>
      <c r="G66" s="96">
        <v>40878</v>
      </c>
      <c r="H66" s="92" t="s">
        <v>82</v>
      </c>
      <c r="I66" s="100" t="s">
        <v>10</v>
      </c>
      <c r="J66" s="83">
        <v>40544</v>
      </c>
      <c r="K66" s="87" t="s">
        <v>145</v>
      </c>
      <c r="L66" s="85"/>
      <c r="M66" s="68" t="s">
        <v>8</v>
      </c>
      <c r="N66" s="34" t="s">
        <v>37</v>
      </c>
      <c r="O66" s="50"/>
      <c r="P66" s="49"/>
      <c r="Q66" s="11"/>
      <c r="R66" s="29"/>
      <c r="S66" s="11"/>
      <c r="T66" s="11"/>
      <c r="U66" s="29"/>
    </row>
    <row r="67" spans="1:21" ht="34.5" customHeight="1">
      <c r="A67" s="79">
        <v>46</v>
      </c>
      <c r="B67" s="122">
        <v>1</v>
      </c>
      <c r="C67" s="128" t="s">
        <v>274</v>
      </c>
      <c r="D67" s="107" t="s">
        <v>7</v>
      </c>
      <c r="E67" s="149">
        <f>304000+37000</f>
        <v>341000</v>
      </c>
      <c r="F67" s="90">
        <v>40634</v>
      </c>
      <c r="G67" s="96">
        <v>40695</v>
      </c>
      <c r="H67" s="84" t="s">
        <v>82</v>
      </c>
      <c r="I67" s="80" t="s">
        <v>10</v>
      </c>
      <c r="J67" s="90">
        <v>40634</v>
      </c>
      <c r="K67" s="81" t="s">
        <v>145</v>
      </c>
      <c r="L67" s="109" t="s">
        <v>169</v>
      </c>
      <c r="M67" s="39"/>
      <c r="N67" s="35"/>
      <c r="O67" s="51"/>
      <c r="P67" s="49"/>
      <c r="Q67" s="11"/>
      <c r="R67" s="29"/>
      <c r="S67" s="11"/>
      <c r="T67" s="11"/>
      <c r="U67" s="29"/>
    </row>
    <row r="68" spans="1:21" ht="44.25" customHeight="1">
      <c r="A68" s="79">
        <v>47</v>
      </c>
      <c r="B68" s="122">
        <v>1</v>
      </c>
      <c r="C68" s="128" t="s">
        <v>221</v>
      </c>
      <c r="D68" s="107" t="s">
        <v>7</v>
      </c>
      <c r="E68" s="150">
        <f>'[4]РПБ кор.'!$D$23</f>
        <v>400000</v>
      </c>
      <c r="F68" s="110">
        <v>40848</v>
      </c>
      <c r="G68" s="96">
        <v>40878</v>
      </c>
      <c r="H68" s="92" t="s">
        <v>82</v>
      </c>
      <c r="I68" s="146" t="s">
        <v>171</v>
      </c>
      <c r="J68" s="91">
        <v>40848</v>
      </c>
      <c r="K68" s="87" t="s">
        <v>168</v>
      </c>
      <c r="L68" s="138"/>
      <c r="M68" s="39"/>
      <c r="N68" s="35"/>
      <c r="O68" s="51"/>
      <c r="P68" s="49"/>
      <c r="Q68" s="11"/>
      <c r="R68" s="29"/>
      <c r="S68" s="11"/>
      <c r="T68" s="11"/>
      <c r="U68" s="29"/>
    </row>
    <row r="69" spans="1:21" ht="22.5" customHeight="1">
      <c r="A69" s="79">
        <v>48</v>
      </c>
      <c r="B69" s="81">
        <v>1</v>
      </c>
      <c r="C69" s="127" t="s">
        <v>218</v>
      </c>
      <c r="D69" s="107" t="s">
        <v>7</v>
      </c>
      <c r="E69" s="150">
        <v>930015</v>
      </c>
      <c r="F69" s="110">
        <v>40664</v>
      </c>
      <c r="G69" s="96">
        <v>40695</v>
      </c>
      <c r="H69" s="92" t="s">
        <v>82</v>
      </c>
      <c r="I69" s="146" t="s">
        <v>267</v>
      </c>
      <c r="J69" s="96">
        <v>40664</v>
      </c>
      <c r="K69" s="87" t="s">
        <v>168</v>
      </c>
      <c r="L69" s="87"/>
      <c r="M69" s="68"/>
      <c r="N69" s="34"/>
      <c r="O69" s="50"/>
      <c r="P69" s="49"/>
      <c r="Q69" s="11"/>
      <c r="R69" s="29"/>
      <c r="S69" s="11"/>
      <c r="T69" s="11"/>
      <c r="U69" s="29"/>
    </row>
    <row r="70" spans="1:21" ht="39" customHeight="1">
      <c r="A70" s="79">
        <v>49</v>
      </c>
      <c r="B70" s="81">
        <v>1</v>
      </c>
      <c r="C70" s="127" t="s">
        <v>219</v>
      </c>
      <c r="D70" s="107" t="s">
        <v>7</v>
      </c>
      <c r="E70" s="150">
        <f>'[4]РПБ кор.'!$B$22</f>
        <v>300000</v>
      </c>
      <c r="F70" s="110">
        <v>40725</v>
      </c>
      <c r="G70" s="96">
        <v>40725</v>
      </c>
      <c r="H70" s="92" t="s">
        <v>82</v>
      </c>
      <c r="I70" s="146" t="s">
        <v>267</v>
      </c>
      <c r="J70" s="95">
        <v>40725</v>
      </c>
      <c r="K70" s="87" t="s">
        <v>168</v>
      </c>
      <c r="L70" s="87"/>
      <c r="M70" s="68"/>
      <c r="N70" s="34"/>
      <c r="O70" s="50"/>
      <c r="P70" s="49"/>
      <c r="Q70" s="11"/>
      <c r="R70" s="29"/>
      <c r="S70" s="11"/>
      <c r="T70" s="11"/>
      <c r="U70" s="29"/>
    </row>
    <row r="71" spans="1:21" ht="36" customHeight="1">
      <c r="A71" s="79">
        <v>50</v>
      </c>
      <c r="B71" s="81">
        <v>1</v>
      </c>
      <c r="C71" s="127" t="s">
        <v>222</v>
      </c>
      <c r="D71" s="107" t="s">
        <v>7</v>
      </c>
      <c r="E71" s="150">
        <f>'[4]РПБ кор.'!$B$24</f>
        <v>100000</v>
      </c>
      <c r="F71" s="110">
        <v>40787</v>
      </c>
      <c r="G71" s="96">
        <v>40817</v>
      </c>
      <c r="H71" s="92" t="s">
        <v>82</v>
      </c>
      <c r="I71" s="80" t="s">
        <v>10</v>
      </c>
      <c r="J71" s="95">
        <v>40787</v>
      </c>
      <c r="K71" s="87" t="s">
        <v>168</v>
      </c>
      <c r="L71" s="87"/>
      <c r="M71" s="68"/>
      <c r="N71" s="34"/>
      <c r="O71" s="50"/>
      <c r="P71" s="49"/>
      <c r="Q71" s="11"/>
      <c r="R71" s="29"/>
      <c r="S71" s="11"/>
      <c r="T71" s="11"/>
      <c r="U71" s="29"/>
    </row>
    <row r="72" spans="1:21" ht="24" customHeight="1">
      <c r="A72" s="79">
        <v>51</v>
      </c>
      <c r="B72" s="81">
        <v>1</v>
      </c>
      <c r="C72" s="127" t="s">
        <v>220</v>
      </c>
      <c r="D72" s="120" t="s">
        <v>7</v>
      </c>
      <c r="E72" s="150">
        <f>'[4]РПБ кор.'!$D$25</f>
        <v>548000</v>
      </c>
      <c r="F72" s="110">
        <v>40695</v>
      </c>
      <c r="G72" s="96">
        <v>40817</v>
      </c>
      <c r="H72" s="92" t="s">
        <v>82</v>
      </c>
      <c r="I72" s="156" t="s">
        <v>171</v>
      </c>
      <c r="J72" s="90">
        <v>40695</v>
      </c>
      <c r="K72" s="87" t="s">
        <v>168</v>
      </c>
      <c r="L72" s="87"/>
      <c r="M72" s="68"/>
      <c r="N72" s="34"/>
      <c r="O72" s="50"/>
      <c r="P72" s="49"/>
      <c r="Q72" s="11"/>
      <c r="R72" s="29"/>
      <c r="S72" s="11"/>
      <c r="T72" s="11"/>
      <c r="U72" s="29"/>
    </row>
    <row r="73" spans="1:21" ht="24.75" customHeight="1">
      <c r="A73" s="79">
        <v>52</v>
      </c>
      <c r="B73" s="81">
        <v>1</v>
      </c>
      <c r="C73" s="130" t="s">
        <v>174</v>
      </c>
      <c r="D73" s="120" t="s">
        <v>7</v>
      </c>
      <c r="E73" s="150">
        <v>75650</v>
      </c>
      <c r="F73" s="91">
        <v>40909</v>
      </c>
      <c r="G73" s="96">
        <v>40878</v>
      </c>
      <c r="H73" s="92" t="s">
        <v>82</v>
      </c>
      <c r="I73" s="100" t="s">
        <v>10</v>
      </c>
      <c r="J73" s="83">
        <v>40544</v>
      </c>
      <c r="K73" s="87" t="s">
        <v>145</v>
      </c>
      <c r="L73" s="85"/>
      <c r="M73" s="68"/>
      <c r="N73" s="34"/>
      <c r="O73" s="50"/>
      <c r="P73" s="49"/>
      <c r="Q73" s="11"/>
      <c r="R73" s="29"/>
      <c r="S73" s="11"/>
      <c r="T73" s="11"/>
      <c r="U73" s="29"/>
    </row>
    <row r="74" spans="1:21" ht="26.25" customHeight="1">
      <c r="A74" s="79">
        <v>53</v>
      </c>
      <c r="B74" s="81">
        <v>1</v>
      </c>
      <c r="C74" s="127" t="s">
        <v>224</v>
      </c>
      <c r="D74" s="120" t="s">
        <v>7</v>
      </c>
      <c r="E74" s="150">
        <v>24000</v>
      </c>
      <c r="F74" s="91">
        <v>40603</v>
      </c>
      <c r="G74" s="96">
        <v>40756</v>
      </c>
      <c r="H74" s="92" t="s">
        <v>82</v>
      </c>
      <c r="I74" s="100" t="s">
        <v>10</v>
      </c>
      <c r="J74" s="91">
        <v>40603</v>
      </c>
      <c r="K74" s="87" t="s">
        <v>145</v>
      </c>
      <c r="L74" s="85"/>
      <c r="M74" s="68" t="s">
        <v>8</v>
      </c>
      <c r="N74" s="34" t="s">
        <v>56</v>
      </c>
      <c r="O74" s="50"/>
      <c r="P74" s="49"/>
      <c r="Q74" s="11"/>
      <c r="R74" s="11"/>
      <c r="S74" s="11"/>
      <c r="T74" s="11"/>
      <c r="U74" s="11"/>
    </row>
    <row r="75" spans="1:21" ht="24" customHeight="1">
      <c r="A75" s="79">
        <v>54</v>
      </c>
      <c r="B75" s="81">
        <v>1</v>
      </c>
      <c r="C75" s="127" t="s">
        <v>19</v>
      </c>
      <c r="D75" s="120" t="s">
        <v>7</v>
      </c>
      <c r="E75" s="150">
        <f>'[6]2 полугодие'!$F$211</f>
        <v>121308.3</v>
      </c>
      <c r="F75" s="104">
        <v>40544</v>
      </c>
      <c r="G75" s="96">
        <v>40878</v>
      </c>
      <c r="H75" s="92" t="s">
        <v>82</v>
      </c>
      <c r="I75" s="100" t="s">
        <v>10</v>
      </c>
      <c r="J75" s="83">
        <v>40544</v>
      </c>
      <c r="K75" s="80" t="s">
        <v>157</v>
      </c>
      <c r="L75" s="85"/>
      <c r="M75" s="68" t="s">
        <v>8</v>
      </c>
      <c r="N75" s="34" t="s">
        <v>37</v>
      </c>
      <c r="O75" s="50"/>
      <c r="P75" s="49"/>
      <c r="Q75" s="11"/>
      <c r="R75" s="11"/>
      <c r="S75" s="11"/>
      <c r="T75" s="11"/>
      <c r="U75" s="11"/>
    </row>
    <row r="76" spans="1:21" ht="31.5" customHeight="1">
      <c r="A76" s="79">
        <v>55</v>
      </c>
      <c r="B76" s="122">
        <v>1</v>
      </c>
      <c r="C76" s="128" t="s">
        <v>17</v>
      </c>
      <c r="D76" s="107" t="s">
        <v>7</v>
      </c>
      <c r="E76" s="149">
        <f>'[2]БДР'!$E$132*1000-E77</f>
        <v>158081.68711864413</v>
      </c>
      <c r="F76" s="104">
        <v>40544</v>
      </c>
      <c r="G76" s="96">
        <v>40878</v>
      </c>
      <c r="H76" s="92" t="s">
        <v>82</v>
      </c>
      <c r="I76" s="100" t="s">
        <v>10</v>
      </c>
      <c r="J76" s="83">
        <v>40544</v>
      </c>
      <c r="K76" s="87" t="s">
        <v>118</v>
      </c>
      <c r="L76" s="89"/>
      <c r="M76" s="68"/>
      <c r="N76" s="34"/>
      <c r="O76" s="50"/>
      <c r="P76" s="49"/>
      <c r="Q76" s="11"/>
      <c r="R76" s="11"/>
      <c r="S76" s="11"/>
      <c r="T76" s="11"/>
      <c r="U76" s="11"/>
    </row>
    <row r="77" spans="1:21" ht="30" customHeight="1">
      <c r="A77" s="79"/>
      <c r="B77" s="122">
        <v>2</v>
      </c>
      <c r="C77" s="128" t="s">
        <v>119</v>
      </c>
      <c r="D77" s="107" t="s">
        <v>7</v>
      </c>
      <c r="E77" s="149">
        <f>550000</f>
        <v>550000</v>
      </c>
      <c r="F77" s="104">
        <v>40544</v>
      </c>
      <c r="G77" s="111">
        <v>40878</v>
      </c>
      <c r="H77" s="92" t="s">
        <v>82</v>
      </c>
      <c r="I77" s="100" t="s">
        <v>10</v>
      </c>
      <c r="J77" s="83">
        <v>40544</v>
      </c>
      <c r="K77" s="87" t="s">
        <v>118</v>
      </c>
      <c r="L77" s="109" t="s">
        <v>172</v>
      </c>
      <c r="M77" s="39"/>
      <c r="N77" s="35"/>
      <c r="O77" s="51"/>
      <c r="P77" s="49"/>
      <c r="Q77" s="11"/>
      <c r="R77" s="11"/>
      <c r="S77" s="11"/>
      <c r="T77" s="11"/>
      <c r="U77" s="29"/>
    </row>
    <row r="78" spans="1:21" ht="23.25" customHeight="1">
      <c r="A78" s="79">
        <v>56</v>
      </c>
      <c r="B78" s="81">
        <v>1</v>
      </c>
      <c r="C78" s="128" t="s">
        <v>20</v>
      </c>
      <c r="D78" s="107" t="s">
        <v>7</v>
      </c>
      <c r="E78" s="149">
        <v>40000</v>
      </c>
      <c r="F78" s="104">
        <v>40544</v>
      </c>
      <c r="G78" s="111">
        <v>40878</v>
      </c>
      <c r="H78" s="92" t="s">
        <v>82</v>
      </c>
      <c r="I78" s="93" t="s">
        <v>10</v>
      </c>
      <c r="J78" s="83">
        <v>40544</v>
      </c>
      <c r="K78" s="87" t="s">
        <v>145</v>
      </c>
      <c r="L78" s="89"/>
      <c r="M78" s="39" t="s">
        <v>8</v>
      </c>
      <c r="N78" s="35" t="s">
        <v>16</v>
      </c>
      <c r="O78" s="51"/>
      <c r="P78" s="49"/>
      <c r="Q78" s="11"/>
      <c r="R78" s="11"/>
      <c r="S78" s="11"/>
      <c r="T78" s="11"/>
      <c r="U78" s="11"/>
    </row>
    <row r="79" spans="1:21" ht="24" customHeight="1">
      <c r="A79" s="79">
        <v>57</v>
      </c>
      <c r="B79" s="81">
        <v>1</v>
      </c>
      <c r="C79" s="128" t="s">
        <v>36</v>
      </c>
      <c r="D79" s="107" t="s">
        <v>7</v>
      </c>
      <c r="E79" s="149">
        <v>179000</v>
      </c>
      <c r="F79" s="104">
        <v>40544</v>
      </c>
      <c r="G79" s="111">
        <v>40878</v>
      </c>
      <c r="H79" s="92" t="s">
        <v>82</v>
      </c>
      <c r="I79" s="93" t="s">
        <v>59</v>
      </c>
      <c r="J79" s="83">
        <v>40544</v>
      </c>
      <c r="K79" s="87" t="s">
        <v>145</v>
      </c>
      <c r="L79" s="89"/>
      <c r="M79" s="39" t="s">
        <v>8</v>
      </c>
      <c r="N79" s="35" t="s">
        <v>13</v>
      </c>
      <c r="O79" s="51"/>
      <c r="P79" s="49"/>
      <c r="Q79" s="11"/>
      <c r="R79" s="11"/>
      <c r="S79" s="11"/>
      <c r="T79" s="11"/>
      <c r="U79" s="11"/>
    </row>
    <row r="80" spans="1:21" ht="28.5" customHeight="1">
      <c r="A80" s="79">
        <v>58</v>
      </c>
      <c r="B80" s="81">
        <v>1</v>
      </c>
      <c r="C80" s="128" t="s">
        <v>21</v>
      </c>
      <c r="D80" s="107" t="s">
        <v>7</v>
      </c>
      <c r="E80" s="149">
        <v>69000</v>
      </c>
      <c r="F80" s="104">
        <v>40544</v>
      </c>
      <c r="G80" s="111">
        <v>40544</v>
      </c>
      <c r="H80" s="92" t="s">
        <v>82</v>
      </c>
      <c r="I80" s="93" t="s">
        <v>10</v>
      </c>
      <c r="J80" s="83">
        <v>40544</v>
      </c>
      <c r="K80" s="87" t="s">
        <v>145</v>
      </c>
      <c r="L80" s="89"/>
      <c r="M80" s="39" t="s">
        <v>8</v>
      </c>
      <c r="N80" s="35" t="s">
        <v>16</v>
      </c>
      <c r="O80" s="51"/>
      <c r="P80" s="49"/>
      <c r="Q80" s="11"/>
      <c r="R80" s="11"/>
      <c r="S80" s="11"/>
      <c r="T80" s="11"/>
      <c r="U80" s="11"/>
    </row>
    <row r="81" spans="1:21" ht="26.25" customHeight="1">
      <c r="A81" s="79">
        <v>59</v>
      </c>
      <c r="B81" s="81">
        <v>1</v>
      </c>
      <c r="C81" s="128" t="s">
        <v>22</v>
      </c>
      <c r="D81" s="107" t="s">
        <v>7</v>
      </c>
      <c r="E81" s="149">
        <v>103000</v>
      </c>
      <c r="F81" s="104">
        <v>40544</v>
      </c>
      <c r="G81" s="111">
        <v>40878</v>
      </c>
      <c r="H81" s="92" t="s">
        <v>82</v>
      </c>
      <c r="I81" s="93" t="s">
        <v>10</v>
      </c>
      <c r="J81" s="83">
        <v>40544</v>
      </c>
      <c r="K81" s="87" t="s">
        <v>145</v>
      </c>
      <c r="L81" s="89"/>
      <c r="M81" s="39" t="s">
        <v>8</v>
      </c>
      <c r="N81" s="35" t="s">
        <v>16</v>
      </c>
      <c r="O81" s="51"/>
      <c r="P81" s="49"/>
      <c r="Q81" s="11"/>
      <c r="R81" s="11"/>
      <c r="S81" s="11"/>
      <c r="T81" s="11"/>
      <c r="U81" s="11"/>
    </row>
    <row r="82" spans="1:21" ht="33" customHeight="1">
      <c r="A82" s="79">
        <v>60</v>
      </c>
      <c r="B82" s="81">
        <v>1</v>
      </c>
      <c r="C82" s="128" t="s">
        <v>146</v>
      </c>
      <c r="D82" s="107" t="s">
        <v>7</v>
      </c>
      <c r="E82" s="149">
        <v>498000</v>
      </c>
      <c r="F82" s="98">
        <v>40603</v>
      </c>
      <c r="G82" s="96">
        <v>40756</v>
      </c>
      <c r="H82" s="92" t="s">
        <v>82</v>
      </c>
      <c r="I82" s="93" t="s">
        <v>10</v>
      </c>
      <c r="J82" s="98">
        <v>40603</v>
      </c>
      <c r="K82" s="87" t="s">
        <v>145</v>
      </c>
      <c r="L82" s="112" t="s">
        <v>172</v>
      </c>
      <c r="M82" s="39" t="s">
        <v>8</v>
      </c>
      <c r="N82" s="35" t="s">
        <v>16</v>
      </c>
      <c r="O82" s="51"/>
      <c r="P82" s="49"/>
      <c r="Q82" s="11"/>
      <c r="R82" s="11"/>
      <c r="S82" s="11"/>
      <c r="T82" s="11"/>
      <c r="U82" s="11"/>
    </row>
    <row r="83" spans="1:21" ht="28.5" customHeight="1">
      <c r="A83" s="79">
        <v>61</v>
      </c>
      <c r="B83" s="81">
        <v>1</v>
      </c>
      <c r="C83" s="128" t="s">
        <v>48</v>
      </c>
      <c r="D83" s="107" t="s">
        <v>7</v>
      </c>
      <c r="E83" s="149">
        <f>'[5]Лист1'!$I$17*1000+'[5]Лист1'!$I$14+'[5]Лист1'!$I$18*1000+'[6]2 полугодие'!$J$211+4455+20000</f>
        <v>194370.8</v>
      </c>
      <c r="F83" s="104">
        <v>40544</v>
      </c>
      <c r="G83" s="111">
        <v>40878</v>
      </c>
      <c r="H83" s="92" t="s">
        <v>82</v>
      </c>
      <c r="I83" s="93" t="s">
        <v>10</v>
      </c>
      <c r="J83" s="83">
        <v>40544</v>
      </c>
      <c r="K83" s="80" t="s">
        <v>157</v>
      </c>
      <c r="L83" s="112"/>
      <c r="M83" s="39" t="s">
        <v>8</v>
      </c>
      <c r="N83" s="35" t="s">
        <v>37</v>
      </c>
      <c r="O83" s="51"/>
      <c r="P83" s="49"/>
      <c r="Q83" s="11"/>
      <c r="R83" s="11"/>
      <c r="S83" s="11"/>
      <c r="T83" s="11"/>
      <c r="U83" s="11"/>
    </row>
    <row r="84" spans="1:21" ht="30" customHeight="1">
      <c r="A84" s="79">
        <v>62</v>
      </c>
      <c r="B84" s="81">
        <v>1</v>
      </c>
      <c r="C84" s="128" t="s">
        <v>149</v>
      </c>
      <c r="D84" s="107" t="s">
        <v>7</v>
      </c>
      <c r="E84" s="149">
        <v>147100</v>
      </c>
      <c r="F84" s="104">
        <v>40544</v>
      </c>
      <c r="G84" s="111">
        <v>40878</v>
      </c>
      <c r="H84" s="92" t="s">
        <v>82</v>
      </c>
      <c r="I84" s="93" t="s">
        <v>10</v>
      </c>
      <c r="J84" s="83">
        <v>40544</v>
      </c>
      <c r="K84" s="87" t="s">
        <v>161</v>
      </c>
      <c r="L84" s="112" t="s">
        <v>172</v>
      </c>
      <c r="M84" s="39" t="s">
        <v>8</v>
      </c>
      <c r="N84" s="35" t="s">
        <v>16</v>
      </c>
      <c r="O84" s="51"/>
      <c r="P84" s="49"/>
      <c r="Q84" s="11"/>
      <c r="R84" s="11"/>
      <c r="S84" s="11"/>
      <c r="T84" s="11"/>
      <c r="U84" s="11"/>
    </row>
    <row r="85" spans="1:21" ht="33" customHeight="1">
      <c r="A85" s="79">
        <v>63</v>
      </c>
      <c r="B85" s="81">
        <v>1</v>
      </c>
      <c r="C85" s="128" t="s">
        <v>148</v>
      </c>
      <c r="D85" s="107" t="s">
        <v>7</v>
      </c>
      <c r="E85" s="149">
        <v>140000</v>
      </c>
      <c r="F85" s="104">
        <v>40544</v>
      </c>
      <c r="G85" s="111">
        <v>40878</v>
      </c>
      <c r="H85" s="92" t="s">
        <v>82</v>
      </c>
      <c r="I85" s="93" t="s">
        <v>10</v>
      </c>
      <c r="J85" s="83">
        <v>40544</v>
      </c>
      <c r="K85" s="87" t="s">
        <v>145</v>
      </c>
      <c r="L85" s="112" t="s">
        <v>172</v>
      </c>
      <c r="M85" s="39" t="s">
        <v>8</v>
      </c>
      <c r="N85" s="35" t="s">
        <v>16</v>
      </c>
      <c r="O85" s="51"/>
      <c r="P85" s="49"/>
      <c r="Q85" s="11"/>
      <c r="R85" s="11"/>
      <c r="S85" s="11"/>
      <c r="T85" s="11"/>
      <c r="U85" s="11"/>
    </row>
    <row r="86" spans="1:21" ht="29.25" customHeight="1">
      <c r="A86" s="86">
        <v>64</v>
      </c>
      <c r="B86" s="81">
        <v>1</v>
      </c>
      <c r="C86" s="128" t="s">
        <v>47</v>
      </c>
      <c r="D86" s="107" t="s">
        <v>7</v>
      </c>
      <c r="E86" s="149">
        <v>138000</v>
      </c>
      <c r="F86" s="91">
        <v>40544</v>
      </c>
      <c r="G86" s="96">
        <v>40878</v>
      </c>
      <c r="H86" s="92" t="s">
        <v>82</v>
      </c>
      <c r="I86" s="93" t="s">
        <v>10</v>
      </c>
      <c r="J86" s="91">
        <v>40544</v>
      </c>
      <c r="K86" s="87" t="s">
        <v>145</v>
      </c>
      <c r="L86" s="112" t="s">
        <v>172</v>
      </c>
      <c r="M86" s="39" t="s">
        <v>8</v>
      </c>
      <c r="N86" s="35" t="s">
        <v>16</v>
      </c>
      <c r="O86" s="51"/>
      <c r="P86" s="49"/>
      <c r="Q86" s="11"/>
      <c r="R86" s="11"/>
      <c r="S86" s="11"/>
      <c r="T86" s="11"/>
      <c r="U86" s="11"/>
    </row>
    <row r="87" spans="1:21" ht="29.25" customHeight="1">
      <c r="A87" s="79">
        <v>65</v>
      </c>
      <c r="B87" s="121">
        <v>1</v>
      </c>
      <c r="C87" s="127" t="s">
        <v>227</v>
      </c>
      <c r="D87" s="107" t="s">
        <v>7</v>
      </c>
      <c r="E87" s="150">
        <f>'[7]прочие материалы 2011 (2)'!$O$20*1000</f>
        <v>427118.64406779665</v>
      </c>
      <c r="F87" s="91">
        <v>40756</v>
      </c>
      <c r="G87" s="96">
        <v>40787</v>
      </c>
      <c r="H87" s="92" t="s">
        <v>82</v>
      </c>
      <c r="I87" s="157" t="s">
        <v>171</v>
      </c>
      <c r="J87" s="91">
        <v>40725</v>
      </c>
      <c r="K87" s="87" t="s">
        <v>145</v>
      </c>
      <c r="L87" s="113"/>
      <c r="M87" s="135"/>
      <c r="N87" s="136"/>
      <c r="O87" s="140"/>
      <c r="P87" s="49"/>
      <c r="Q87" s="11"/>
      <c r="R87" s="11"/>
      <c r="S87" s="11"/>
      <c r="T87" s="11"/>
      <c r="U87" s="11"/>
    </row>
    <row r="88" spans="1:21" ht="29.25" customHeight="1">
      <c r="A88" s="79">
        <v>66</v>
      </c>
      <c r="B88" s="121">
        <v>1</v>
      </c>
      <c r="C88" s="127" t="s">
        <v>225</v>
      </c>
      <c r="D88" s="107" t="s">
        <v>7</v>
      </c>
      <c r="E88" s="150">
        <f>4770+30000</f>
        <v>34770</v>
      </c>
      <c r="F88" s="91">
        <v>40817</v>
      </c>
      <c r="G88" s="96">
        <v>40878</v>
      </c>
      <c r="H88" s="92" t="s">
        <v>82</v>
      </c>
      <c r="I88" s="93" t="s">
        <v>10</v>
      </c>
      <c r="J88" s="91">
        <v>40817</v>
      </c>
      <c r="K88" s="80" t="s">
        <v>276</v>
      </c>
      <c r="L88" s="113"/>
      <c r="M88" s="135"/>
      <c r="N88" s="136"/>
      <c r="O88" s="140"/>
      <c r="P88" s="49"/>
      <c r="Q88" s="11"/>
      <c r="R88" s="11"/>
      <c r="S88" s="11"/>
      <c r="T88" s="11"/>
      <c r="U88" s="11"/>
    </row>
    <row r="89" spans="1:21" ht="29.25" customHeight="1">
      <c r="A89" s="79">
        <v>67</v>
      </c>
      <c r="B89" s="121">
        <v>1</v>
      </c>
      <c r="C89" s="127" t="s">
        <v>229</v>
      </c>
      <c r="D89" s="107" t="s">
        <v>7</v>
      </c>
      <c r="E89" s="150">
        <v>67083</v>
      </c>
      <c r="F89" s="91">
        <v>40634</v>
      </c>
      <c r="G89" s="96">
        <v>40634</v>
      </c>
      <c r="H89" s="92" t="s">
        <v>82</v>
      </c>
      <c r="I89" s="93" t="s">
        <v>10</v>
      </c>
      <c r="J89" s="91">
        <v>40603</v>
      </c>
      <c r="K89" s="80" t="s">
        <v>226</v>
      </c>
      <c r="L89" s="113"/>
      <c r="M89" s="135"/>
      <c r="N89" s="136"/>
      <c r="O89" s="140"/>
      <c r="P89" s="49"/>
      <c r="Q89" s="11"/>
      <c r="R89" s="11"/>
      <c r="S89" s="11"/>
      <c r="T89" s="11"/>
      <c r="U89" s="11"/>
    </row>
    <row r="90" spans="1:21" ht="29.25" customHeight="1">
      <c r="A90" s="79">
        <v>68</v>
      </c>
      <c r="B90" s="81">
        <v>1</v>
      </c>
      <c r="C90" s="127" t="s">
        <v>228</v>
      </c>
      <c r="D90" s="107" t="s">
        <v>7</v>
      </c>
      <c r="E90" s="150">
        <f>'[8]Лист1'!$D$6</f>
        <v>27230.5</v>
      </c>
      <c r="F90" s="91">
        <v>40664</v>
      </c>
      <c r="G90" s="96">
        <v>40695</v>
      </c>
      <c r="H90" s="92" t="s">
        <v>82</v>
      </c>
      <c r="I90" s="93" t="s">
        <v>10</v>
      </c>
      <c r="J90" s="83">
        <v>40664</v>
      </c>
      <c r="K90" s="80" t="s">
        <v>226</v>
      </c>
      <c r="L90" s="113"/>
      <c r="M90" s="135"/>
      <c r="N90" s="136"/>
      <c r="O90" s="140"/>
      <c r="P90" s="49"/>
      <c r="Q90" s="11"/>
      <c r="R90" s="11"/>
      <c r="S90" s="11"/>
      <c r="T90" s="11"/>
      <c r="U90" s="11"/>
    </row>
    <row r="91" spans="1:21" ht="29.25" customHeight="1">
      <c r="A91" s="79">
        <v>69</v>
      </c>
      <c r="B91" s="81">
        <v>1</v>
      </c>
      <c r="C91" s="127" t="s">
        <v>230</v>
      </c>
      <c r="D91" s="107" t="s">
        <v>7</v>
      </c>
      <c r="E91" s="150">
        <f>'[8]Лист1'!$L$9</f>
        <v>47000</v>
      </c>
      <c r="F91" s="91">
        <v>40817</v>
      </c>
      <c r="G91" s="96">
        <v>40817</v>
      </c>
      <c r="H91" s="92" t="s">
        <v>82</v>
      </c>
      <c r="I91" s="93" t="s">
        <v>10</v>
      </c>
      <c r="J91" s="83">
        <v>40817</v>
      </c>
      <c r="K91" s="80" t="s">
        <v>226</v>
      </c>
      <c r="L91" s="113"/>
      <c r="M91" s="135"/>
      <c r="N91" s="136"/>
      <c r="O91" s="140"/>
      <c r="P91" s="49"/>
      <c r="Q91" s="11"/>
      <c r="R91" s="11"/>
      <c r="S91" s="11"/>
      <c r="T91" s="11"/>
      <c r="U91" s="11"/>
    </row>
    <row r="92" spans="1:21" ht="30.75" customHeight="1" thickBot="1">
      <c r="A92" s="79">
        <v>70</v>
      </c>
      <c r="B92" s="81">
        <v>1</v>
      </c>
      <c r="C92" s="127" t="s">
        <v>25</v>
      </c>
      <c r="D92" s="120" t="s">
        <v>7</v>
      </c>
      <c r="E92" s="150">
        <v>250000</v>
      </c>
      <c r="F92" s="83">
        <v>40817</v>
      </c>
      <c r="G92" s="95">
        <v>40848</v>
      </c>
      <c r="H92" s="84" t="s">
        <v>82</v>
      </c>
      <c r="I92" s="154" t="s">
        <v>14</v>
      </c>
      <c r="J92" s="83">
        <v>40817</v>
      </c>
      <c r="K92" s="80" t="s">
        <v>95</v>
      </c>
      <c r="L92" s="113"/>
      <c r="M92" s="78"/>
      <c r="N92" s="23"/>
      <c r="O92" s="55"/>
      <c r="P92" s="49"/>
      <c r="Q92" s="11"/>
      <c r="R92" s="11"/>
      <c r="S92" s="11"/>
      <c r="T92" s="11"/>
      <c r="U92" s="11"/>
    </row>
    <row r="93" spans="1:21" ht="30.75" customHeight="1">
      <c r="A93" s="79">
        <v>71</v>
      </c>
      <c r="B93" s="81">
        <v>1</v>
      </c>
      <c r="C93" s="127" t="s">
        <v>231</v>
      </c>
      <c r="D93" s="120" t="s">
        <v>7</v>
      </c>
      <c r="E93" s="150">
        <f>'[8]Лист1'!$M$4</f>
        <v>34956</v>
      </c>
      <c r="F93" s="104">
        <v>40544</v>
      </c>
      <c r="G93" s="111">
        <v>40878</v>
      </c>
      <c r="H93" s="84" t="s">
        <v>82</v>
      </c>
      <c r="I93" s="93" t="s">
        <v>10</v>
      </c>
      <c r="J93" s="83">
        <v>40544</v>
      </c>
      <c r="K93" s="80" t="s">
        <v>226</v>
      </c>
      <c r="L93" s="113"/>
      <c r="M93" s="141"/>
      <c r="N93" s="24"/>
      <c r="O93" s="60"/>
      <c r="P93" s="49"/>
      <c r="Q93" s="11"/>
      <c r="R93" s="11"/>
      <c r="S93" s="11"/>
      <c r="T93" s="11"/>
      <c r="U93" s="11"/>
    </row>
    <row r="94" spans="1:21" ht="42" customHeight="1">
      <c r="A94" s="86">
        <v>72</v>
      </c>
      <c r="B94" s="122">
        <v>1</v>
      </c>
      <c r="C94" s="128" t="s">
        <v>51</v>
      </c>
      <c r="D94" s="107" t="s">
        <v>7</v>
      </c>
      <c r="E94" s="149">
        <f>'[9]Договоры 2011'!$E$6*1000</f>
        <v>5135535</v>
      </c>
      <c r="F94" s="91">
        <v>40695</v>
      </c>
      <c r="G94" s="111">
        <v>41244</v>
      </c>
      <c r="H94" s="92" t="s">
        <v>82</v>
      </c>
      <c r="I94" s="146" t="s">
        <v>14</v>
      </c>
      <c r="J94" s="91">
        <v>40695</v>
      </c>
      <c r="K94" s="87" t="s">
        <v>92</v>
      </c>
      <c r="L94" s="112"/>
      <c r="M94" s="68" t="s">
        <v>8</v>
      </c>
      <c r="N94" s="34" t="s">
        <v>24</v>
      </c>
      <c r="O94" s="56"/>
      <c r="P94" s="49"/>
      <c r="Q94" s="11"/>
      <c r="R94" s="11"/>
      <c r="S94" s="11"/>
      <c r="T94" s="11"/>
      <c r="U94" s="11"/>
    </row>
    <row r="95" spans="1:21" ht="40.5" customHeight="1">
      <c r="A95" s="86">
        <v>73</v>
      </c>
      <c r="B95" s="122">
        <v>1</v>
      </c>
      <c r="C95" s="128" t="s">
        <v>60</v>
      </c>
      <c r="D95" s="107" t="s">
        <v>7</v>
      </c>
      <c r="E95" s="149">
        <f>'[9]Договоры 2011'!$E$22*1000-E94-E97-E98-E96</f>
        <v>668176.8200000026</v>
      </c>
      <c r="F95" s="91">
        <v>40544</v>
      </c>
      <c r="G95" s="96">
        <v>41000</v>
      </c>
      <c r="H95" s="92" t="s">
        <v>82</v>
      </c>
      <c r="I95" s="146" t="s">
        <v>14</v>
      </c>
      <c r="J95" s="91">
        <v>40544</v>
      </c>
      <c r="K95" s="87" t="s">
        <v>92</v>
      </c>
      <c r="L95" s="112"/>
      <c r="M95" s="39" t="s">
        <v>8</v>
      </c>
      <c r="N95" s="35" t="s">
        <v>24</v>
      </c>
      <c r="O95" s="51"/>
      <c r="P95" s="49"/>
      <c r="Q95" s="11"/>
      <c r="R95" s="11"/>
      <c r="S95" s="11"/>
      <c r="T95" s="11"/>
      <c r="U95" s="11"/>
    </row>
    <row r="96" spans="1:21" ht="39" customHeight="1">
      <c r="A96" s="86">
        <v>74</v>
      </c>
      <c r="B96" s="122">
        <v>1</v>
      </c>
      <c r="C96" s="128" t="s">
        <v>64</v>
      </c>
      <c r="D96" s="107" t="s">
        <v>7</v>
      </c>
      <c r="E96" s="149">
        <f>'[9]Договоры 2011'!$E$5*1000</f>
        <v>2649520.73</v>
      </c>
      <c r="F96" s="91">
        <v>40634</v>
      </c>
      <c r="G96" s="96">
        <v>41000</v>
      </c>
      <c r="H96" s="92" t="s">
        <v>82</v>
      </c>
      <c r="I96" s="146" t="s">
        <v>14</v>
      </c>
      <c r="J96" s="91">
        <v>40634</v>
      </c>
      <c r="K96" s="87" t="s">
        <v>92</v>
      </c>
      <c r="L96" s="112"/>
      <c r="M96" s="39" t="s">
        <v>8</v>
      </c>
      <c r="N96" s="35" t="s">
        <v>24</v>
      </c>
      <c r="O96" s="51"/>
      <c r="P96" s="49"/>
      <c r="Q96" s="11"/>
      <c r="R96" s="29"/>
      <c r="S96" s="11"/>
      <c r="T96" s="11"/>
      <c r="U96" s="29"/>
    </row>
    <row r="97" spans="1:21" ht="27.75" customHeight="1">
      <c r="A97" s="86">
        <v>75</v>
      </c>
      <c r="B97" s="122">
        <v>1</v>
      </c>
      <c r="C97" s="128" t="s">
        <v>233</v>
      </c>
      <c r="D97" s="107" t="s">
        <v>7</v>
      </c>
      <c r="E97" s="149">
        <f>'[9]Договоры 2011'!$E$3*1000</f>
        <v>2400000</v>
      </c>
      <c r="F97" s="91">
        <v>40695</v>
      </c>
      <c r="G97" s="96">
        <v>41061</v>
      </c>
      <c r="H97" s="92" t="s">
        <v>82</v>
      </c>
      <c r="I97" s="146" t="s">
        <v>14</v>
      </c>
      <c r="J97" s="91">
        <v>40695</v>
      </c>
      <c r="K97" s="87" t="s">
        <v>92</v>
      </c>
      <c r="L97" s="112"/>
      <c r="M97" s="39" t="s">
        <v>8</v>
      </c>
      <c r="N97" s="35" t="s">
        <v>24</v>
      </c>
      <c r="O97" s="51"/>
      <c r="P97" s="49"/>
      <c r="Q97" s="11"/>
      <c r="R97" s="29"/>
      <c r="S97" s="11"/>
      <c r="T97" s="11"/>
      <c r="U97" s="29"/>
    </row>
    <row r="98" spans="1:21" ht="40.5" customHeight="1">
      <c r="A98" s="86">
        <v>76</v>
      </c>
      <c r="B98" s="122">
        <v>1</v>
      </c>
      <c r="C98" s="128" t="s">
        <v>232</v>
      </c>
      <c r="D98" s="107" t="s">
        <v>7</v>
      </c>
      <c r="E98" s="149">
        <v>3800000</v>
      </c>
      <c r="F98" s="91">
        <v>40787</v>
      </c>
      <c r="G98" s="96">
        <v>41153</v>
      </c>
      <c r="H98" s="92" t="s">
        <v>82</v>
      </c>
      <c r="I98" s="146" t="s">
        <v>14</v>
      </c>
      <c r="J98" s="91">
        <v>40787</v>
      </c>
      <c r="K98" s="87" t="s">
        <v>92</v>
      </c>
      <c r="L98" s="112"/>
      <c r="M98" s="39"/>
      <c r="N98" s="35"/>
      <c r="O98" s="51"/>
      <c r="P98" s="49"/>
      <c r="Q98" s="11"/>
      <c r="R98" s="29"/>
      <c r="S98" s="11"/>
      <c r="T98" s="11"/>
      <c r="U98" s="29"/>
    </row>
    <row r="99" spans="1:21" ht="58.5" customHeight="1">
      <c r="A99" s="86">
        <v>77</v>
      </c>
      <c r="B99" s="122">
        <v>1</v>
      </c>
      <c r="C99" s="131" t="s">
        <v>175</v>
      </c>
      <c r="D99" s="107" t="s">
        <v>7</v>
      </c>
      <c r="E99" s="149">
        <f>1528000+260100</f>
        <v>1788100</v>
      </c>
      <c r="F99" s="104">
        <v>40544</v>
      </c>
      <c r="G99" s="111">
        <v>40878</v>
      </c>
      <c r="H99" s="92" t="s">
        <v>82</v>
      </c>
      <c r="I99" s="146" t="s">
        <v>14</v>
      </c>
      <c r="J99" s="83">
        <v>40544</v>
      </c>
      <c r="K99" s="87" t="s">
        <v>115</v>
      </c>
      <c r="L99" s="112" t="s">
        <v>223</v>
      </c>
      <c r="M99" s="39" t="s">
        <v>8</v>
      </c>
      <c r="N99" s="35"/>
      <c r="O99" s="51"/>
      <c r="P99" s="49"/>
      <c r="Q99" s="11"/>
      <c r="R99" s="11"/>
      <c r="S99" s="11"/>
      <c r="T99" s="11"/>
      <c r="U99" s="11"/>
    </row>
    <row r="100" spans="1:21" ht="54" customHeight="1">
      <c r="A100" s="86">
        <v>78</v>
      </c>
      <c r="B100" s="122">
        <v>1</v>
      </c>
      <c r="C100" s="131" t="s">
        <v>176</v>
      </c>
      <c r="D100" s="107" t="s">
        <v>7</v>
      </c>
      <c r="E100" s="149">
        <v>750000</v>
      </c>
      <c r="F100" s="104">
        <v>40544</v>
      </c>
      <c r="G100" s="111">
        <v>40878</v>
      </c>
      <c r="H100" s="92" t="s">
        <v>82</v>
      </c>
      <c r="I100" s="146" t="s">
        <v>14</v>
      </c>
      <c r="J100" s="83">
        <v>40544</v>
      </c>
      <c r="K100" s="87" t="s">
        <v>115</v>
      </c>
      <c r="L100" s="112" t="s">
        <v>279</v>
      </c>
      <c r="M100" s="39" t="s">
        <v>8</v>
      </c>
      <c r="N100" s="35" t="s">
        <v>24</v>
      </c>
      <c r="O100" s="51"/>
      <c r="P100" s="49"/>
      <c r="Q100" s="11"/>
      <c r="R100" s="29"/>
      <c r="S100" s="11"/>
      <c r="T100" s="11"/>
      <c r="U100" s="29"/>
    </row>
    <row r="101" spans="1:21" ht="57" customHeight="1">
      <c r="A101" s="86">
        <v>79</v>
      </c>
      <c r="B101" s="122">
        <v>1</v>
      </c>
      <c r="C101" s="128" t="s">
        <v>114</v>
      </c>
      <c r="D101" s="107" t="s">
        <v>7</v>
      </c>
      <c r="E101" s="149">
        <v>1513000</v>
      </c>
      <c r="F101" s="104">
        <v>40544</v>
      </c>
      <c r="G101" s="96">
        <v>40878</v>
      </c>
      <c r="H101" s="92" t="s">
        <v>82</v>
      </c>
      <c r="I101" s="146" t="s">
        <v>14</v>
      </c>
      <c r="J101" s="83">
        <v>40544</v>
      </c>
      <c r="K101" s="87" t="s">
        <v>115</v>
      </c>
      <c r="L101" s="112" t="s">
        <v>280</v>
      </c>
      <c r="M101" s="39" t="s">
        <v>8</v>
      </c>
      <c r="N101" s="35" t="s">
        <v>24</v>
      </c>
      <c r="O101" s="57"/>
      <c r="P101" s="49"/>
      <c r="Q101" s="11"/>
      <c r="R101" s="11"/>
      <c r="S101" s="11"/>
      <c r="T101" s="11"/>
      <c r="U101" s="11"/>
    </row>
    <row r="102" spans="1:21" ht="37.5" customHeight="1">
      <c r="A102" s="86">
        <v>80</v>
      </c>
      <c r="B102" s="122">
        <v>1</v>
      </c>
      <c r="C102" s="128" t="s">
        <v>49</v>
      </c>
      <c r="D102" s="107" t="s">
        <v>7</v>
      </c>
      <c r="E102" s="149">
        <f>474379+'[10]Ремонт и запчасти'!$C$5*3</f>
        <v>616692.8983050848</v>
      </c>
      <c r="F102" s="91">
        <v>40544</v>
      </c>
      <c r="G102" s="96">
        <v>40878</v>
      </c>
      <c r="H102" s="92" t="s">
        <v>82</v>
      </c>
      <c r="I102" s="146" t="s">
        <v>14</v>
      </c>
      <c r="J102" s="91">
        <v>40544</v>
      </c>
      <c r="K102" s="87" t="s">
        <v>97</v>
      </c>
      <c r="L102" s="112" t="s">
        <v>278</v>
      </c>
      <c r="M102" s="39" t="s">
        <v>8</v>
      </c>
      <c r="N102" s="35" t="s">
        <v>24</v>
      </c>
      <c r="O102" s="51"/>
      <c r="P102" s="49"/>
      <c r="Q102" s="11"/>
      <c r="R102" s="11"/>
      <c r="S102" s="11"/>
      <c r="T102" s="11"/>
      <c r="U102" s="11"/>
    </row>
    <row r="103" spans="1:21" ht="27.75" customHeight="1">
      <c r="A103" s="86">
        <v>81</v>
      </c>
      <c r="B103" s="122">
        <v>1</v>
      </c>
      <c r="C103" s="128" t="s">
        <v>141</v>
      </c>
      <c r="D103" s="107" t="s">
        <v>7</v>
      </c>
      <c r="E103" s="149">
        <f>'[2]БДР'!$E$61*1000</f>
        <v>680041.83</v>
      </c>
      <c r="F103" s="104">
        <v>40544</v>
      </c>
      <c r="G103" s="111">
        <v>40878</v>
      </c>
      <c r="H103" s="92" t="s">
        <v>82</v>
      </c>
      <c r="I103" s="146" t="s">
        <v>14</v>
      </c>
      <c r="J103" s="83">
        <v>40544</v>
      </c>
      <c r="K103" s="87" t="s">
        <v>142</v>
      </c>
      <c r="L103" s="112" t="s">
        <v>281</v>
      </c>
      <c r="M103" s="39" t="s">
        <v>8</v>
      </c>
      <c r="N103" s="35" t="s">
        <v>24</v>
      </c>
      <c r="O103" s="51"/>
      <c r="P103" s="49"/>
      <c r="Q103" s="11"/>
      <c r="R103" s="29"/>
      <c r="S103" s="11"/>
      <c r="T103" s="11"/>
      <c r="U103" s="29"/>
    </row>
    <row r="104" spans="1:21" ht="52.5" customHeight="1">
      <c r="A104" s="86">
        <v>82</v>
      </c>
      <c r="B104" s="122">
        <v>1</v>
      </c>
      <c r="C104" s="128" t="s">
        <v>43</v>
      </c>
      <c r="D104" s="107" t="s">
        <v>7</v>
      </c>
      <c r="E104" s="149">
        <f>'[11]нов.'!$C$20*12</f>
        <v>966528</v>
      </c>
      <c r="F104" s="104">
        <v>40544</v>
      </c>
      <c r="G104" s="111">
        <v>40878</v>
      </c>
      <c r="H104" s="92" t="s">
        <v>82</v>
      </c>
      <c r="I104" s="146" t="s">
        <v>14</v>
      </c>
      <c r="J104" s="83">
        <v>40544</v>
      </c>
      <c r="K104" s="87" t="s">
        <v>159</v>
      </c>
      <c r="L104" s="112" t="s">
        <v>282</v>
      </c>
      <c r="M104" s="39" t="s">
        <v>8</v>
      </c>
      <c r="N104" s="35" t="s">
        <v>24</v>
      </c>
      <c r="O104" s="57"/>
      <c r="P104" s="49"/>
      <c r="Q104" s="11"/>
      <c r="R104" s="11"/>
      <c r="S104" s="11"/>
      <c r="T104" s="11"/>
      <c r="U104" s="11"/>
    </row>
    <row r="105" spans="1:21" ht="60.75" customHeight="1">
      <c r="A105" s="86">
        <v>83</v>
      </c>
      <c r="B105" s="122">
        <v>1</v>
      </c>
      <c r="C105" s="128" t="s">
        <v>234</v>
      </c>
      <c r="D105" s="107" t="s">
        <v>7</v>
      </c>
      <c r="E105" s="149">
        <f>'[11]нов.'!$C$19*12</f>
        <v>413535.4576271186</v>
      </c>
      <c r="F105" s="104">
        <v>40634</v>
      </c>
      <c r="G105" s="111">
        <v>41000</v>
      </c>
      <c r="H105" s="92" t="s">
        <v>235</v>
      </c>
      <c r="I105" s="146" t="s">
        <v>14</v>
      </c>
      <c r="J105" s="83">
        <v>40634</v>
      </c>
      <c r="K105" s="87" t="s">
        <v>159</v>
      </c>
      <c r="L105" s="112" t="s">
        <v>283</v>
      </c>
      <c r="M105" s="39" t="s">
        <v>8</v>
      </c>
      <c r="N105" s="35" t="s">
        <v>24</v>
      </c>
      <c r="O105" s="57"/>
      <c r="P105" s="49"/>
      <c r="Q105" s="11"/>
      <c r="R105" s="11"/>
      <c r="S105" s="11"/>
      <c r="T105" s="11"/>
      <c r="U105" s="11"/>
    </row>
    <row r="106" spans="1:21" ht="74.25" customHeight="1">
      <c r="A106" s="86">
        <v>84</v>
      </c>
      <c r="B106" s="122">
        <v>1</v>
      </c>
      <c r="C106" s="128" t="s">
        <v>241</v>
      </c>
      <c r="D106" s="107" t="s">
        <v>7</v>
      </c>
      <c r="E106" s="149">
        <v>5000000</v>
      </c>
      <c r="F106" s="104">
        <v>40544</v>
      </c>
      <c r="G106" s="111">
        <v>40878</v>
      </c>
      <c r="H106" s="92" t="s">
        <v>82</v>
      </c>
      <c r="I106" s="146" t="s">
        <v>14</v>
      </c>
      <c r="J106" s="83">
        <v>40544</v>
      </c>
      <c r="K106" s="87" t="s">
        <v>100</v>
      </c>
      <c r="L106" s="112" t="s">
        <v>284</v>
      </c>
      <c r="M106" s="39" t="s">
        <v>8</v>
      </c>
      <c r="N106" s="35" t="s">
        <v>24</v>
      </c>
      <c r="O106" s="57"/>
      <c r="P106" s="49"/>
      <c r="Q106" s="11"/>
      <c r="R106" s="11"/>
      <c r="S106" s="11"/>
      <c r="T106" s="11"/>
      <c r="U106" s="11"/>
    </row>
    <row r="107" spans="1:21" ht="48" customHeight="1">
      <c r="A107" s="79"/>
      <c r="B107" s="121">
        <v>2</v>
      </c>
      <c r="C107" s="128" t="s">
        <v>242</v>
      </c>
      <c r="D107" s="107" t="s">
        <v>7</v>
      </c>
      <c r="E107" s="150">
        <f>'[2]БДР'!$E$90*1000-E106</f>
        <v>1576470.0389600005</v>
      </c>
      <c r="F107" s="104">
        <v>40544</v>
      </c>
      <c r="G107" s="111">
        <v>40878</v>
      </c>
      <c r="H107" s="92" t="s">
        <v>82</v>
      </c>
      <c r="I107" s="87" t="s">
        <v>10</v>
      </c>
      <c r="J107" s="91">
        <v>40544</v>
      </c>
      <c r="K107" s="87" t="s">
        <v>100</v>
      </c>
      <c r="L107" s="112" t="s">
        <v>243</v>
      </c>
      <c r="M107" s="39"/>
      <c r="N107" s="35"/>
      <c r="O107" s="57"/>
      <c r="P107" s="49"/>
      <c r="Q107" s="11"/>
      <c r="R107" s="11"/>
      <c r="S107" s="11"/>
      <c r="T107" s="11"/>
      <c r="U107" s="11"/>
    </row>
    <row r="108" spans="1:21" ht="51.75" customHeight="1">
      <c r="A108" s="79">
        <v>85</v>
      </c>
      <c r="B108" s="121">
        <v>1</v>
      </c>
      <c r="C108" s="127" t="s">
        <v>27</v>
      </c>
      <c r="D108" s="120" t="s">
        <v>7</v>
      </c>
      <c r="E108" s="150">
        <f>'[2]БДР'!$E$65*1000</f>
        <v>218728.83</v>
      </c>
      <c r="F108" s="104">
        <v>40544</v>
      </c>
      <c r="G108" s="96">
        <v>40878</v>
      </c>
      <c r="H108" s="92" t="s">
        <v>82</v>
      </c>
      <c r="I108" s="87" t="s">
        <v>10</v>
      </c>
      <c r="J108" s="83">
        <v>40544</v>
      </c>
      <c r="K108" s="80" t="s">
        <v>121</v>
      </c>
      <c r="L108" s="112" t="s">
        <v>265</v>
      </c>
      <c r="M108" s="39"/>
      <c r="N108" s="35"/>
      <c r="O108" s="57"/>
      <c r="P108" s="49"/>
      <c r="Q108" s="11"/>
      <c r="R108" s="11"/>
      <c r="S108" s="11"/>
      <c r="T108" s="11"/>
      <c r="U108" s="11"/>
    </row>
    <row r="109" spans="1:21" ht="34.5" customHeight="1">
      <c r="A109" s="86">
        <v>86</v>
      </c>
      <c r="B109" s="122">
        <v>1</v>
      </c>
      <c r="C109" s="128" t="s">
        <v>26</v>
      </c>
      <c r="D109" s="107" t="s">
        <v>7</v>
      </c>
      <c r="E109" s="149">
        <f>464000</f>
        <v>464000</v>
      </c>
      <c r="F109" s="91">
        <v>40544</v>
      </c>
      <c r="G109" s="96">
        <v>40878</v>
      </c>
      <c r="H109" s="92" t="s">
        <v>82</v>
      </c>
      <c r="I109" s="146" t="s">
        <v>14</v>
      </c>
      <c r="J109" s="83">
        <v>40544</v>
      </c>
      <c r="K109" s="87" t="s">
        <v>115</v>
      </c>
      <c r="L109" s="142" t="s">
        <v>285</v>
      </c>
      <c r="M109" s="39"/>
      <c r="N109" s="35"/>
      <c r="O109" s="57"/>
      <c r="P109" s="49"/>
      <c r="Q109" s="11"/>
      <c r="R109" s="11"/>
      <c r="S109" s="11"/>
      <c r="T109" s="11"/>
      <c r="U109" s="11"/>
    </row>
    <row r="110" spans="1:21" ht="35.25" customHeight="1">
      <c r="A110" s="108">
        <v>87</v>
      </c>
      <c r="B110" s="162">
        <v>1</v>
      </c>
      <c r="C110" s="129" t="s">
        <v>177</v>
      </c>
      <c r="D110" s="103" t="s">
        <v>7</v>
      </c>
      <c r="E110" s="151">
        <f>'[2]БДР'!$E$92*1000</f>
        <v>4349425.89</v>
      </c>
      <c r="F110" s="104">
        <v>40634</v>
      </c>
      <c r="G110" s="111">
        <v>40909</v>
      </c>
      <c r="H110" s="92" t="s">
        <v>82</v>
      </c>
      <c r="I110" s="158" t="s">
        <v>14</v>
      </c>
      <c r="J110" s="91">
        <v>40634</v>
      </c>
      <c r="K110" s="87" t="s">
        <v>106</v>
      </c>
      <c r="L110" s="112" t="s">
        <v>286</v>
      </c>
      <c r="M110" s="39" t="s">
        <v>8</v>
      </c>
      <c r="N110" s="35" t="s">
        <v>24</v>
      </c>
      <c r="O110" s="57"/>
      <c r="P110" s="49"/>
      <c r="Q110" s="11"/>
      <c r="R110" s="11"/>
      <c r="S110" s="11"/>
      <c r="T110" s="11"/>
      <c r="U110" s="11"/>
    </row>
    <row r="111" spans="1:21" ht="25.5" customHeight="1">
      <c r="A111" s="108">
        <v>88</v>
      </c>
      <c r="B111" s="81">
        <v>1</v>
      </c>
      <c r="C111" s="129" t="s">
        <v>238</v>
      </c>
      <c r="D111" s="103" t="s">
        <v>7</v>
      </c>
      <c r="E111" s="151">
        <f>5747*12</f>
        <v>68964</v>
      </c>
      <c r="F111" s="104">
        <v>40544</v>
      </c>
      <c r="G111" s="111">
        <v>40878</v>
      </c>
      <c r="H111" s="92" t="s">
        <v>82</v>
      </c>
      <c r="I111" s="87" t="s">
        <v>10</v>
      </c>
      <c r="J111" s="91">
        <v>40544</v>
      </c>
      <c r="K111" s="87" t="s">
        <v>106</v>
      </c>
      <c r="L111" s="112"/>
      <c r="M111" s="68"/>
      <c r="N111" s="34"/>
      <c r="O111" s="56"/>
      <c r="P111" s="49"/>
      <c r="Q111" s="11"/>
      <c r="R111" s="11"/>
      <c r="S111" s="11"/>
      <c r="T111" s="11"/>
      <c r="U111" s="11"/>
    </row>
    <row r="112" spans="1:21" ht="46.5" customHeight="1">
      <c r="A112" s="86">
        <v>89</v>
      </c>
      <c r="B112" s="81">
        <v>1</v>
      </c>
      <c r="C112" s="128" t="s">
        <v>143</v>
      </c>
      <c r="D112" s="107" t="s">
        <v>7</v>
      </c>
      <c r="E112" s="149">
        <f>'[2]БДР'!$E$83*1000-E151</f>
        <v>130448.51878400001</v>
      </c>
      <c r="F112" s="104">
        <v>40544</v>
      </c>
      <c r="G112" s="96">
        <v>40878</v>
      </c>
      <c r="H112" s="92" t="s">
        <v>82</v>
      </c>
      <c r="I112" s="87" t="s">
        <v>10</v>
      </c>
      <c r="J112" s="83">
        <v>40544</v>
      </c>
      <c r="K112" s="80" t="s">
        <v>144</v>
      </c>
      <c r="L112" s="112"/>
      <c r="M112" s="68" t="s">
        <v>8</v>
      </c>
      <c r="N112" s="34" t="s">
        <v>24</v>
      </c>
      <c r="O112" s="56"/>
      <c r="P112" s="49"/>
      <c r="Q112" s="11"/>
      <c r="R112" s="11"/>
      <c r="S112" s="18"/>
      <c r="T112" s="11"/>
      <c r="U112" s="11"/>
    </row>
    <row r="113" spans="1:21" ht="55.5" customHeight="1">
      <c r="A113" s="86">
        <v>90</v>
      </c>
      <c r="B113" s="81">
        <v>1</v>
      </c>
      <c r="C113" s="128" t="s">
        <v>207</v>
      </c>
      <c r="D113" s="107" t="s">
        <v>7</v>
      </c>
      <c r="E113" s="149">
        <f>'[13]МО нов. договора (1)'!$Y$5</f>
        <v>170128</v>
      </c>
      <c r="F113" s="91">
        <v>40544</v>
      </c>
      <c r="G113" s="96">
        <v>40878</v>
      </c>
      <c r="H113" s="92" t="s">
        <v>82</v>
      </c>
      <c r="I113" s="87" t="s">
        <v>10</v>
      </c>
      <c r="J113" s="83">
        <v>40544</v>
      </c>
      <c r="K113" s="80" t="s">
        <v>109</v>
      </c>
      <c r="L113" s="112"/>
      <c r="M113" s="39" t="s">
        <v>8</v>
      </c>
      <c r="N113" s="35" t="s">
        <v>24</v>
      </c>
      <c r="O113" s="51"/>
      <c r="P113" s="49"/>
      <c r="Q113" s="11"/>
      <c r="R113" s="11"/>
      <c r="S113" s="11"/>
      <c r="T113" s="11"/>
      <c r="U113" s="11"/>
    </row>
    <row r="114" spans="1:21" ht="55.5" customHeight="1">
      <c r="A114" s="86">
        <v>91</v>
      </c>
      <c r="B114" s="81">
        <v>1</v>
      </c>
      <c r="C114" s="128" t="s">
        <v>208</v>
      </c>
      <c r="D114" s="107" t="s">
        <v>7</v>
      </c>
      <c r="E114" s="149">
        <f>'[13]МО нов. договора (1)'!$Y$14</f>
        <v>70998.97200000001</v>
      </c>
      <c r="F114" s="91">
        <v>40544</v>
      </c>
      <c r="G114" s="96">
        <v>40878</v>
      </c>
      <c r="H114" s="92" t="s">
        <v>110</v>
      </c>
      <c r="I114" s="87" t="s">
        <v>10</v>
      </c>
      <c r="J114" s="83">
        <v>40544</v>
      </c>
      <c r="K114" s="80" t="s">
        <v>109</v>
      </c>
      <c r="L114" s="112"/>
      <c r="M114" s="39"/>
      <c r="N114" s="35"/>
      <c r="O114" s="51"/>
      <c r="P114" s="49"/>
      <c r="Q114" s="11"/>
      <c r="R114" s="11"/>
      <c r="S114" s="11"/>
      <c r="T114" s="11"/>
      <c r="U114" s="11"/>
    </row>
    <row r="115" spans="1:21" ht="55.5" customHeight="1">
      <c r="A115" s="86">
        <v>92</v>
      </c>
      <c r="B115" s="81">
        <v>1</v>
      </c>
      <c r="C115" s="128" t="s">
        <v>209</v>
      </c>
      <c r="D115" s="107" t="s">
        <v>7</v>
      </c>
      <c r="E115" s="149">
        <f>'[13]МО нов. договора (1)'!$Y$34</f>
        <v>73542.48</v>
      </c>
      <c r="F115" s="91">
        <v>40544</v>
      </c>
      <c r="G115" s="96">
        <v>40878</v>
      </c>
      <c r="H115" s="92" t="s">
        <v>111</v>
      </c>
      <c r="I115" s="87" t="s">
        <v>10</v>
      </c>
      <c r="J115" s="83">
        <v>40544</v>
      </c>
      <c r="K115" s="80" t="s">
        <v>109</v>
      </c>
      <c r="L115" s="112"/>
      <c r="M115" s="39"/>
      <c r="N115" s="35"/>
      <c r="O115" s="51"/>
      <c r="P115" s="49"/>
      <c r="Q115" s="11"/>
      <c r="R115" s="11"/>
      <c r="S115" s="11"/>
      <c r="T115" s="11"/>
      <c r="U115" s="11"/>
    </row>
    <row r="116" spans="1:21" ht="55.5" customHeight="1">
      <c r="A116" s="86">
        <v>93</v>
      </c>
      <c r="B116" s="81">
        <v>1</v>
      </c>
      <c r="C116" s="128" t="s">
        <v>210</v>
      </c>
      <c r="D116" s="107" t="s">
        <v>7</v>
      </c>
      <c r="E116" s="149">
        <f>'[13]МО нов. договора (1)'!$Y$27</f>
        <v>79688.89600000001</v>
      </c>
      <c r="F116" s="91">
        <v>40544</v>
      </c>
      <c r="G116" s="96">
        <v>40878</v>
      </c>
      <c r="H116" s="92" t="s">
        <v>112</v>
      </c>
      <c r="I116" s="87" t="s">
        <v>10</v>
      </c>
      <c r="J116" s="83">
        <v>40544</v>
      </c>
      <c r="K116" s="80" t="s">
        <v>109</v>
      </c>
      <c r="L116" s="112"/>
      <c r="M116" s="39"/>
      <c r="N116" s="35"/>
      <c r="O116" s="51"/>
      <c r="P116" s="49"/>
      <c r="Q116" s="11"/>
      <c r="R116" s="11"/>
      <c r="S116" s="11"/>
      <c r="T116" s="11"/>
      <c r="U116" s="11"/>
    </row>
    <row r="117" spans="1:21" ht="55.5" customHeight="1">
      <c r="A117" s="86">
        <v>94</v>
      </c>
      <c r="B117" s="81">
        <v>1</v>
      </c>
      <c r="C117" s="128" t="s">
        <v>178</v>
      </c>
      <c r="D117" s="107" t="s">
        <v>7</v>
      </c>
      <c r="E117" s="149">
        <f>'[13]МО нов. договора (1)'!$Y$20-21800</f>
        <v>112083.424</v>
      </c>
      <c r="F117" s="91">
        <v>40544</v>
      </c>
      <c r="G117" s="96">
        <v>40878</v>
      </c>
      <c r="H117" s="92" t="s">
        <v>113</v>
      </c>
      <c r="I117" s="87" t="s">
        <v>10</v>
      </c>
      <c r="J117" s="83">
        <v>40544</v>
      </c>
      <c r="K117" s="80" t="s">
        <v>109</v>
      </c>
      <c r="L117" s="112"/>
      <c r="M117" s="39"/>
      <c r="N117" s="35"/>
      <c r="O117" s="51"/>
      <c r="P117" s="49"/>
      <c r="Q117" s="11"/>
      <c r="R117" s="11"/>
      <c r="S117" s="11"/>
      <c r="T117" s="11"/>
      <c r="U117" s="11"/>
    </row>
    <row r="118" spans="1:21" ht="55.5" customHeight="1">
      <c r="A118" s="86">
        <v>95</v>
      </c>
      <c r="B118" s="81">
        <v>1</v>
      </c>
      <c r="C118" s="128" t="s">
        <v>28</v>
      </c>
      <c r="D118" s="107" t="s">
        <v>7</v>
      </c>
      <c r="E118" s="149">
        <f>'[14]эксплуат.'!$S$6+'[14]эксплуат.'!$S$7+20000</f>
        <v>169042.37288135593</v>
      </c>
      <c r="F118" s="91">
        <v>40544</v>
      </c>
      <c r="G118" s="96">
        <v>40878</v>
      </c>
      <c r="H118" s="92" t="s">
        <v>80</v>
      </c>
      <c r="I118" s="87" t="s">
        <v>10</v>
      </c>
      <c r="J118" s="83">
        <v>40544</v>
      </c>
      <c r="K118" s="80" t="s">
        <v>108</v>
      </c>
      <c r="L118" s="112"/>
      <c r="M118" s="39" t="s">
        <v>8</v>
      </c>
      <c r="N118" s="35" t="s">
        <v>24</v>
      </c>
      <c r="O118" s="51"/>
      <c r="P118" s="49"/>
      <c r="Q118" s="11"/>
      <c r="R118" s="11"/>
      <c r="S118" s="11"/>
      <c r="T118" s="11"/>
      <c r="U118" s="11"/>
    </row>
    <row r="119" spans="1:21" ht="55.5" customHeight="1">
      <c r="A119" s="86">
        <v>96</v>
      </c>
      <c r="B119" s="81">
        <v>1</v>
      </c>
      <c r="C119" s="128" t="s">
        <v>107</v>
      </c>
      <c r="D119" s="107" t="s">
        <v>7</v>
      </c>
      <c r="E119" s="149">
        <f>'[2]БДР'!$E$94*1000-E118</f>
        <v>259175.23847457633</v>
      </c>
      <c r="F119" s="91">
        <v>40544</v>
      </c>
      <c r="G119" s="96">
        <v>40878</v>
      </c>
      <c r="H119" s="92" t="s">
        <v>80</v>
      </c>
      <c r="I119" s="87" t="s">
        <v>10</v>
      </c>
      <c r="J119" s="83">
        <v>40544</v>
      </c>
      <c r="K119" s="80" t="s">
        <v>108</v>
      </c>
      <c r="L119" s="112"/>
      <c r="M119" s="39"/>
      <c r="N119" s="35"/>
      <c r="O119" s="51"/>
      <c r="P119" s="49"/>
      <c r="Q119" s="11"/>
      <c r="R119" s="11"/>
      <c r="S119" s="11"/>
      <c r="T119" s="11"/>
      <c r="U119" s="11"/>
    </row>
    <row r="120" spans="1:21" ht="54.75" customHeight="1">
      <c r="A120" s="86">
        <v>97</v>
      </c>
      <c r="B120" s="81">
        <v>1</v>
      </c>
      <c r="C120" s="128" t="s">
        <v>237</v>
      </c>
      <c r="D120" s="107" t="s">
        <v>7</v>
      </c>
      <c r="E120" s="149">
        <f>9565.1*12</f>
        <v>114781.20000000001</v>
      </c>
      <c r="F120" s="91">
        <v>40544</v>
      </c>
      <c r="G120" s="96">
        <v>40878</v>
      </c>
      <c r="H120" s="92" t="s">
        <v>82</v>
      </c>
      <c r="I120" s="87" t="s">
        <v>10</v>
      </c>
      <c r="J120" s="83">
        <v>40544</v>
      </c>
      <c r="K120" s="87" t="s">
        <v>159</v>
      </c>
      <c r="L120" s="112"/>
      <c r="M120" s="39" t="s">
        <v>8</v>
      </c>
      <c r="N120" s="35" t="s">
        <v>24</v>
      </c>
      <c r="O120" s="51"/>
      <c r="P120" s="49"/>
      <c r="Q120" s="11"/>
      <c r="R120" s="11"/>
      <c r="S120" s="11"/>
      <c r="T120" s="11"/>
      <c r="U120" s="11"/>
    </row>
    <row r="121" spans="1:21" ht="60" customHeight="1">
      <c r="A121" s="86">
        <v>98</v>
      </c>
      <c r="B121" s="81">
        <v>1</v>
      </c>
      <c r="C121" s="128" t="s">
        <v>179</v>
      </c>
      <c r="D121" s="107" t="s">
        <v>7</v>
      </c>
      <c r="E121" s="149">
        <f>'[15]Расходы  25.01'!$F$7*12+14040*12</f>
        <v>192480</v>
      </c>
      <c r="F121" s="91">
        <v>40544</v>
      </c>
      <c r="G121" s="96">
        <v>40878</v>
      </c>
      <c r="H121" s="92" t="s">
        <v>110</v>
      </c>
      <c r="I121" s="87" t="s">
        <v>10</v>
      </c>
      <c r="J121" s="83">
        <v>40544</v>
      </c>
      <c r="K121" s="80" t="s">
        <v>162</v>
      </c>
      <c r="L121" s="112"/>
      <c r="M121" s="39" t="s">
        <v>8</v>
      </c>
      <c r="N121" s="35" t="s">
        <v>24</v>
      </c>
      <c r="O121" s="51"/>
      <c r="P121" s="49"/>
      <c r="Q121" s="11"/>
      <c r="R121" s="11"/>
      <c r="S121" s="11"/>
      <c r="T121" s="11"/>
      <c r="U121" s="11"/>
    </row>
    <row r="122" spans="1:21" ht="54.75" customHeight="1">
      <c r="A122" s="86">
        <v>99</v>
      </c>
      <c r="B122" s="81">
        <v>1</v>
      </c>
      <c r="C122" s="128" t="s">
        <v>29</v>
      </c>
      <c r="D122" s="107" t="s">
        <v>7</v>
      </c>
      <c r="E122" s="149">
        <f>27222*12</f>
        <v>326664</v>
      </c>
      <c r="F122" s="91">
        <v>40544</v>
      </c>
      <c r="G122" s="96">
        <v>40878</v>
      </c>
      <c r="H122" s="92" t="s">
        <v>111</v>
      </c>
      <c r="I122" s="87" t="s">
        <v>10</v>
      </c>
      <c r="J122" s="83">
        <v>40544</v>
      </c>
      <c r="K122" s="80" t="s">
        <v>162</v>
      </c>
      <c r="L122" s="112" t="s">
        <v>172</v>
      </c>
      <c r="M122" s="39" t="s">
        <v>8</v>
      </c>
      <c r="N122" s="35" t="s">
        <v>24</v>
      </c>
      <c r="O122" s="51"/>
      <c r="P122" s="49"/>
      <c r="Q122" s="11"/>
      <c r="R122" s="11"/>
      <c r="S122" s="11"/>
      <c r="T122" s="11"/>
      <c r="U122" s="11"/>
    </row>
    <row r="123" spans="1:21" ht="59.25" customHeight="1">
      <c r="A123" s="86">
        <v>100</v>
      </c>
      <c r="B123" s="81">
        <v>1</v>
      </c>
      <c r="C123" s="128" t="s">
        <v>30</v>
      </c>
      <c r="D123" s="107" t="s">
        <v>7</v>
      </c>
      <c r="E123" s="149">
        <f>18450*12</f>
        <v>221400</v>
      </c>
      <c r="F123" s="91">
        <v>40544</v>
      </c>
      <c r="G123" s="96">
        <v>40878</v>
      </c>
      <c r="H123" s="92" t="s">
        <v>111</v>
      </c>
      <c r="I123" s="87" t="s">
        <v>10</v>
      </c>
      <c r="J123" s="83">
        <v>40544</v>
      </c>
      <c r="K123" s="80" t="s">
        <v>162</v>
      </c>
      <c r="L123" s="112" t="s">
        <v>172</v>
      </c>
      <c r="M123" s="39" t="s">
        <v>8</v>
      </c>
      <c r="N123" s="35" t="s">
        <v>24</v>
      </c>
      <c r="O123" s="51"/>
      <c r="P123" s="49"/>
      <c r="Q123" s="11"/>
      <c r="R123" s="11"/>
      <c r="S123" s="11"/>
      <c r="T123" s="11"/>
      <c r="U123" s="11"/>
    </row>
    <row r="124" spans="1:21" ht="58.5" customHeight="1">
      <c r="A124" s="86">
        <v>101</v>
      </c>
      <c r="B124" s="81">
        <v>1</v>
      </c>
      <c r="C124" s="128" t="s">
        <v>31</v>
      </c>
      <c r="D124" s="107" t="s">
        <v>7</v>
      </c>
      <c r="E124" s="149">
        <f>10169.49*12</f>
        <v>122033.88</v>
      </c>
      <c r="F124" s="91">
        <v>40544</v>
      </c>
      <c r="G124" s="96">
        <v>40878</v>
      </c>
      <c r="H124" s="92" t="s">
        <v>110</v>
      </c>
      <c r="I124" s="87" t="s">
        <v>10</v>
      </c>
      <c r="J124" s="83">
        <v>40544</v>
      </c>
      <c r="K124" s="80" t="s">
        <v>162</v>
      </c>
      <c r="L124" s="112"/>
      <c r="M124" s="39" t="s">
        <v>8</v>
      </c>
      <c r="N124" s="35" t="s">
        <v>24</v>
      </c>
      <c r="O124" s="51"/>
      <c r="P124" s="49"/>
      <c r="Q124" s="11"/>
      <c r="R124" s="11"/>
      <c r="S124" s="11"/>
      <c r="T124" s="11"/>
      <c r="U124" s="11"/>
    </row>
    <row r="125" spans="1:21" ht="57" customHeight="1">
      <c r="A125" s="86">
        <v>102</v>
      </c>
      <c r="B125" s="81">
        <v>1</v>
      </c>
      <c r="C125" s="128" t="s">
        <v>32</v>
      </c>
      <c r="D125" s="107" t="s">
        <v>7</v>
      </c>
      <c r="E125" s="149">
        <f>(3882.56+2130.51)*12</f>
        <v>72156.84</v>
      </c>
      <c r="F125" s="91">
        <v>40544</v>
      </c>
      <c r="G125" s="96">
        <v>40878</v>
      </c>
      <c r="H125" s="92" t="s">
        <v>110</v>
      </c>
      <c r="I125" s="87" t="s">
        <v>10</v>
      </c>
      <c r="J125" s="83">
        <v>40544</v>
      </c>
      <c r="K125" s="80" t="s">
        <v>162</v>
      </c>
      <c r="L125" s="112"/>
      <c r="M125" s="39" t="s">
        <v>8</v>
      </c>
      <c r="N125" s="35" t="s">
        <v>24</v>
      </c>
      <c r="O125" s="51"/>
      <c r="P125" s="49"/>
      <c r="Q125" s="11"/>
      <c r="R125" s="11"/>
      <c r="S125" s="11"/>
      <c r="T125" s="11"/>
      <c r="U125" s="11"/>
    </row>
    <row r="126" spans="1:21" ht="55.5" customHeight="1">
      <c r="A126" s="86">
        <v>103</v>
      </c>
      <c r="B126" s="81">
        <v>1</v>
      </c>
      <c r="C126" s="128" t="s">
        <v>52</v>
      </c>
      <c r="D126" s="107" t="s">
        <v>7</v>
      </c>
      <c r="E126" s="149">
        <f>10331.8*12</f>
        <v>123981.59999999999</v>
      </c>
      <c r="F126" s="91">
        <v>40544</v>
      </c>
      <c r="G126" s="96">
        <v>40878</v>
      </c>
      <c r="H126" s="92" t="s">
        <v>112</v>
      </c>
      <c r="I126" s="87" t="s">
        <v>10</v>
      </c>
      <c r="J126" s="83">
        <v>40544</v>
      </c>
      <c r="K126" s="80" t="s">
        <v>162</v>
      </c>
      <c r="L126" s="112"/>
      <c r="M126" s="39" t="s">
        <v>8</v>
      </c>
      <c r="N126" s="35" t="s">
        <v>24</v>
      </c>
      <c r="O126" s="51"/>
      <c r="P126" s="49"/>
      <c r="Q126" s="11"/>
      <c r="R126" s="11"/>
      <c r="S126" s="11"/>
      <c r="T126" s="11"/>
      <c r="U126" s="11"/>
    </row>
    <row r="127" spans="1:21" ht="57" customHeight="1">
      <c r="A127" s="86">
        <v>104</v>
      </c>
      <c r="B127" s="81">
        <v>1</v>
      </c>
      <c r="C127" s="128" t="s">
        <v>53</v>
      </c>
      <c r="D127" s="107" t="s">
        <v>7</v>
      </c>
      <c r="E127" s="149">
        <f>8474.58*12</f>
        <v>101694.95999999999</v>
      </c>
      <c r="F127" s="91">
        <v>40544</v>
      </c>
      <c r="G127" s="96">
        <v>40878</v>
      </c>
      <c r="H127" s="92" t="s">
        <v>110</v>
      </c>
      <c r="I127" s="87" t="s">
        <v>10</v>
      </c>
      <c r="J127" s="83">
        <v>40544</v>
      </c>
      <c r="K127" s="80" t="s">
        <v>162</v>
      </c>
      <c r="L127" s="112"/>
      <c r="M127" s="39" t="s">
        <v>8</v>
      </c>
      <c r="N127" s="35" t="s">
        <v>24</v>
      </c>
      <c r="O127" s="51"/>
      <c r="P127" s="49"/>
      <c r="Q127" s="11"/>
      <c r="R127" s="11"/>
      <c r="S127" s="11"/>
      <c r="T127" s="11"/>
      <c r="U127" s="11"/>
    </row>
    <row r="128" spans="1:21" ht="57" customHeight="1">
      <c r="A128" s="86">
        <v>105</v>
      </c>
      <c r="B128" s="81">
        <v>1</v>
      </c>
      <c r="C128" s="128" t="s">
        <v>38</v>
      </c>
      <c r="D128" s="107" t="s">
        <v>7</v>
      </c>
      <c r="E128" s="149">
        <f>10508.88*12</f>
        <v>126106.56</v>
      </c>
      <c r="F128" s="91">
        <v>40544</v>
      </c>
      <c r="G128" s="96">
        <v>40878</v>
      </c>
      <c r="H128" s="92" t="s">
        <v>111</v>
      </c>
      <c r="I128" s="87" t="s">
        <v>10</v>
      </c>
      <c r="J128" s="83">
        <v>40544</v>
      </c>
      <c r="K128" s="80" t="s">
        <v>162</v>
      </c>
      <c r="L128" s="112"/>
      <c r="M128" s="39" t="s">
        <v>8</v>
      </c>
      <c r="N128" s="35" t="s">
        <v>24</v>
      </c>
      <c r="O128" s="51"/>
      <c r="P128" s="49"/>
      <c r="Q128" s="11"/>
      <c r="R128" s="11"/>
      <c r="S128" s="11"/>
      <c r="T128" s="11"/>
      <c r="U128" s="11"/>
    </row>
    <row r="129" spans="1:21" ht="57" customHeight="1">
      <c r="A129" s="86">
        <v>106</v>
      </c>
      <c r="B129" s="81">
        <v>1</v>
      </c>
      <c r="C129" s="128" t="s">
        <v>33</v>
      </c>
      <c r="D129" s="107" t="s">
        <v>7</v>
      </c>
      <c r="E129" s="149">
        <f>16656.83*12</f>
        <v>199881.96000000002</v>
      </c>
      <c r="F129" s="91">
        <v>40544</v>
      </c>
      <c r="G129" s="96">
        <v>40878</v>
      </c>
      <c r="H129" s="92" t="s">
        <v>110</v>
      </c>
      <c r="I129" s="87" t="s">
        <v>10</v>
      </c>
      <c r="J129" s="83">
        <v>40544</v>
      </c>
      <c r="K129" s="80" t="s">
        <v>162</v>
      </c>
      <c r="L129" s="112"/>
      <c r="M129" s="39" t="s">
        <v>8</v>
      </c>
      <c r="N129" s="35" t="s">
        <v>24</v>
      </c>
      <c r="O129" s="51"/>
      <c r="P129" s="49"/>
      <c r="Q129" s="11"/>
      <c r="R129" s="11"/>
      <c r="S129" s="11"/>
      <c r="T129" s="11"/>
      <c r="U129" s="11"/>
    </row>
    <row r="130" spans="1:21" ht="60.75" customHeight="1">
      <c r="A130" s="86">
        <v>107</v>
      </c>
      <c r="B130" s="81">
        <v>1</v>
      </c>
      <c r="C130" s="128" t="s">
        <v>98</v>
      </c>
      <c r="D130" s="107" t="s">
        <v>7</v>
      </c>
      <c r="E130" s="149">
        <f>10814.66*12</f>
        <v>129775.92</v>
      </c>
      <c r="F130" s="91">
        <v>40544</v>
      </c>
      <c r="G130" s="96">
        <v>40878</v>
      </c>
      <c r="H130" s="92" t="s">
        <v>80</v>
      </c>
      <c r="I130" s="87" t="s">
        <v>10</v>
      </c>
      <c r="J130" s="83">
        <v>40544</v>
      </c>
      <c r="K130" s="80" t="s">
        <v>162</v>
      </c>
      <c r="L130" s="112"/>
      <c r="M130" s="39" t="s">
        <v>8</v>
      </c>
      <c r="N130" s="35" t="s">
        <v>24</v>
      </c>
      <c r="O130" s="51"/>
      <c r="P130" s="49"/>
      <c r="Q130" s="11"/>
      <c r="R130" s="11"/>
      <c r="S130" s="11"/>
      <c r="T130" s="11"/>
      <c r="U130" s="11"/>
    </row>
    <row r="131" spans="1:21" ht="49.5" customHeight="1">
      <c r="A131" s="86">
        <v>108</v>
      </c>
      <c r="B131" s="81">
        <v>1</v>
      </c>
      <c r="C131" s="128" t="s">
        <v>54</v>
      </c>
      <c r="D131" s="107" t="s">
        <v>7</v>
      </c>
      <c r="E131" s="149">
        <f>2542.37*12</f>
        <v>30508.44</v>
      </c>
      <c r="F131" s="91">
        <v>40544</v>
      </c>
      <c r="G131" s="96">
        <v>40878</v>
      </c>
      <c r="H131" s="92" t="s">
        <v>110</v>
      </c>
      <c r="I131" s="87" t="s">
        <v>10</v>
      </c>
      <c r="J131" s="83">
        <v>40544</v>
      </c>
      <c r="K131" s="80" t="s">
        <v>162</v>
      </c>
      <c r="L131" s="112"/>
      <c r="M131" s="39" t="s">
        <v>8</v>
      </c>
      <c r="N131" s="35" t="s">
        <v>24</v>
      </c>
      <c r="O131" s="51"/>
      <c r="P131" s="49"/>
      <c r="Q131" s="11"/>
      <c r="R131" s="11"/>
      <c r="S131" s="11"/>
      <c r="T131" s="11"/>
      <c r="U131" s="11"/>
    </row>
    <row r="132" spans="1:65" s="32" customFormat="1" ht="49.5" customHeight="1">
      <c r="A132" s="86">
        <v>109</v>
      </c>
      <c r="B132" s="81">
        <v>1</v>
      </c>
      <c r="C132" s="128" t="s">
        <v>211</v>
      </c>
      <c r="D132" s="107" t="s">
        <v>7</v>
      </c>
      <c r="E132" s="149">
        <f>11252.83*12</f>
        <v>135033.96</v>
      </c>
      <c r="F132" s="91">
        <v>40544</v>
      </c>
      <c r="G132" s="96">
        <v>40878</v>
      </c>
      <c r="H132" s="92" t="s">
        <v>110</v>
      </c>
      <c r="I132" s="87" t="s">
        <v>10</v>
      </c>
      <c r="J132" s="83">
        <v>40544</v>
      </c>
      <c r="K132" s="80" t="s">
        <v>162</v>
      </c>
      <c r="L132" s="112"/>
      <c r="M132" s="39" t="s">
        <v>8</v>
      </c>
      <c r="N132" s="35" t="s">
        <v>24</v>
      </c>
      <c r="O132" s="51"/>
      <c r="P132" s="49"/>
      <c r="Q132" s="11"/>
      <c r="R132" s="11"/>
      <c r="S132" s="11"/>
      <c r="T132" s="11"/>
      <c r="U132" s="1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1:65" s="32" customFormat="1" ht="49.5" customHeight="1">
      <c r="A133" s="86">
        <v>110</v>
      </c>
      <c r="B133" s="81">
        <v>1</v>
      </c>
      <c r="C133" s="128" t="s">
        <v>256</v>
      </c>
      <c r="D133" s="107" t="s">
        <v>7</v>
      </c>
      <c r="E133" s="149">
        <f>'[2]БДР'!$E$112*1000-SUM(E121:E132)</f>
        <v>197403.12069830555</v>
      </c>
      <c r="F133" s="91">
        <v>40544</v>
      </c>
      <c r="G133" s="96">
        <v>40878</v>
      </c>
      <c r="H133" s="92" t="s">
        <v>240</v>
      </c>
      <c r="I133" s="87" t="s">
        <v>10</v>
      </c>
      <c r="J133" s="83">
        <v>40544</v>
      </c>
      <c r="K133" s="80" t="s">
        <v>162</v>
      </c>
      <c r="L133" s="112"/>
      <c r="M133" s="39" t="s">
        <v>8</v>
      </c>
      <c r="N133" s="35" t="s">
        <v>24</v>
      </c>
      <c r="O133" s="51"/>
      <c r="P133" s="49"/>
      <c r="Q133" s="11"/>
      <c r="R133" s="11"/>
      <c r="S133" s="11"/>
      <c r="T133" s="11"/>
      <c r="U133" s="1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1:65" s="32" customFormat="1" ht="41.25" customHeight="1">
      <c r="A134" s="86">
        <v>111</v>
      </c>
      <c r="B134" s="81">
        <v>1</v>
      </c>
      <c r="C134" s="128" t="s">
        <v>212</v>
      </c>
      <c r="D134" s="107" t="s">
        <v>7</v>
      </c>
      <c r="E134" s="149">
        <f>'[11]нов. 1'!$C$16*12</f>
        <v>85734</v>
      </c>
      <c r="F134" s="91">
        <v>40603</v>
      </c>
      <c r="G134" s="96">
        <v>40969</v>
      </c>
      <c r="H134" s="92" t="s">
        <v>112</v>
      </c>
      <c r="I134" s="87" t="s">
        <v>10</v>
      </c>
      <c r="J134" s="83">
        <v>40603</v>
      </c>
      <c r="K134" s="80" t="s">
        <v>159</v>
      </c>
      <c r="L134" s="112"/>
      <c r="M134" s="39" t="s">
        <v>8</v>
      </c>
      <c r="N134" s="35" t="s">
        <v>24</v>
      </c>
      <c r="O134" s="51"/>
      <c r="P134" s="49"/>
      <c r="Q134" s="11"/>
      <c r="R134" s="11"/>
      <c r="S134" s="11"/>
      <c r="T134" s="11"/>
      <c r="U134" s="1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1:65" s="32" customFormat="1" ht="54.75" customHeight="1">
      <c r="A135" s="86">
        <v>112</v>
      </c>
      <c r="B135" s="81">
        <v>1</v>
      </c>
      <c r="C135" s="128" t="s">
        <v>180</v>
      </c>
      <c r="D135" s="107" t="s">
        <v>7</v>
      </c>
      <c r="E135" s="149">
        <f>6624*4+7144.5*8</f>
        <v>83652</v>
      </c>
      <c r="F135" s="91">
        <v>40664</v>
      </c>
      <c r="G135" s="96">
        <v>41030</v>
      </c>
      <c r="H135" s="92" t="s">
        <v>112</v>
      </c>
      <c r="I135" s="87" t="s">
        <v>10</v>
      </c>
      <c r="J135" s="91">
        <v>40664</v>
      </c>
      <c r="K135" s="80" t="s">
        <v>159</v>
      </c>
      <c r="L135" s="112"/>
      <c r="M135" s="39" t="s">
        <v>8</v>
      </c>
      <c r="N135" s="35" t="s">
        <v>24</v>
      </c>
      <c r="O135" s="51"/>
      <c r="P135" s="49"/>
      <c r="Q135" s="11"/>
      <c r="R135" s="11"/>
      <c r="S135" s="11"/>
      <c r="T135" s="11"/>
      <c r="U135" s="1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1:65" s="32" customFormat="1" ht="54.75" customHeight="1">
      <c r="A136" s="86">
        <v>113</v>
      </c>
      <c r="B136" s="81">
        <v>1</v>
      </c>
      <c r="C136" s="128" t="s">
        <v>213</v>
      </c>
      <c r="D136" s="107" t="s">
        <v>7</v>
      </c>
      <c r="E136" s="149">
        <f>11092*12</f>
        <v>133104</v>
      </c>
      <c r="F136" s="91">
        <v>40544</v>
      </c>
      <c r="G136" s="96">
        <v>40878</v>
      </c>
      <c r="H136" s="92" t="s">
        <v>113</v>
      </c>
      <c r="I136" s="87" t="s">
        <v>10</v>
      </c>
      <c r="J136" s="83">
        <v>40544</v>
      </c>
      <c r="K136" s="80" t="s">
        <v>159</v>
      </c>
      <c r="L136" s="112"/>
      <c r="M136" s="39" t="s">
        <v>8</v>
      </c>
      <c r="N136" s="35" t="s">
        <v>24</v>
      </c>
      <c r="O136" s="51"/>
      <c r="P136" s="49"/>
      <c r="Q136" s="11"/>
      <c r="R136" s="11"/>
      <c r="S136" s="11"/>
      <c r="T136" s="11"/>
      <c r="U136" s="1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1:65" s="32" customFormat="1" ht="57.75" customHeight="1">
      <c r="A137" s="86">
        <v>114</v>
      </c>
      <c r="B137" s="81">
        <v>1</v>
      </c>
      <c r="C137" s="128" t="s">
        <v>214</v>
      </c>
      <c r="D137" s="107" t="s">
        <v>7</v>
      </c>
      <c r="E137" s="149">
        <f>7724.8*12</f>
        <v>92697.6</v>
      </c>
      <c r="F137" s="91">
        <v>40725</v>
      </c>
      <c r="G137" s="96">
        <v>41091</v>
      </c>
      <c r="H137" s="92" t="s">
        <v>236</v>
      </c>
      <c r="I137" s="87" t="s">
        <v>10</v>
      </c>
      <c r="J137" s="91">
        <v>40756</v>
      </c>
      <c r="K137" s="80" t="s">
        <v>159</v>
      </c>
      <c r="L137" s="112"/>
      <c r="M137" s="39" t="s">
        <v>8</v>
      </c>
      <c r="N137" s="35" t="s">
        <v>24</v>
      </c>
      <c r="O137" s="51"/>
      <c r="P137" s="49"/>
      <c r="Q137" s="11"/>
      <c r="R137" s="11"/>
      <c r="S137" s="11"/>
      <c r="T137" s="11"/>
      <c r="U137" s="1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1:65" s="32" customFormat="1" ht="46.5" customHeight="1">
      <c r="A138" s="86">
        <v>115</v>
      </c>
      <c r="B138" s="81">
        <v>1</v>
      </c>
      <c r="C138" s="128" t="s">
        <v>215</v>
      </c>
      <c r="D138" s="107" t="s">
        <v>7</v>
      </c>
      <c r="E138" s="149">
        <f>7373*12</f>
        <v>88476</v>
      </c>
      <c r="F138" s="91">
        <v>40544</v>
      </c>
      <c r="G138" s="96">
        <v>40878</v>
      </c>
      <c r="H138" s="92" t="s">
        <v>110</v>
      </c>
      <c r="I138" s="87" t="s">
        <v>10</v>
      </c>
      <c r="J138" s="83">
        <v>40544</v>
      </c>
      <c r="K138" s="80" t="s">
        <v>159</v>
      </c>
      <c r="L138" s="112"/>
      <c r="M138" s="39" t="s">
        <v>8</v>
      </c>
      <c r="N138" s="35" t="s">
        <v>24</v>
      </c>
      <c r="O138" s="51"/>
      <c r="P138" s="49"/>
      <c r="Q138" s="11"/>
      <c r="R138" s="11"/>
      <c r="S138" s="11"/>
      <c r="T138" s="11"/>
      <c r="U138" s="1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1:65" s="32" customFormat="1" ht="50.25" customHeight="1">
      <c r="A139" s="86">
        <v>116</v>
      </c>
      <c r="B139" s="81">
        <v>1</v>
      </c>
      <c r="C139" s="128" t="s">
        <v>216</v>
      </c>
      <c r="D139" s="107" t="s">
        <v>7</v>
      </c>
      <c r="E139" s="149">
        <f>6274*12</f>
        <v>75288</v>
      </c>
      <c r="F139" s="91">
        <v>40544</v>
      </c>
      <c r="G139" s="96">
        <v>40878</v>
      </c>
      <c r="H139" s="92" t="s">
        <v>111</v>
      </c>
      <c r="I139" s="87" t="s">
        <v>10</v>
      </c>
      <c r="J139" s="83">
        <v>40544</v>
      </c>
      <c r="K139" s="80" t="s">
        <v>159</v>
      </c>
      <c r="L139" s="112"/>
      <c r="M139" s="39" t="s">
        <v>8</v>
      </c>
      <c r="N139" s="35" t="s">
        <v>24</v>
      </c>
      <c r="O139" s="51"/>
      <c r="P139" s="49"/>
      <c r="Q139" s="11"/>
      <c r="R139" s="11"/>
      <c r="S139" s="11"/>
      <c r="T139" s="11"/>
      <c r="U139" s="1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1:65" s="32" customFormat="1" ht="50.25" customHeight="1">
      <c r="A140" s="86">
        <v>117</v>
      </c>
      <c r="B140" s="81">
        <v>1</v>
      </c>
      <c r="C140" s="128" t="s">
        <v>217</v>
      </c>
      <c r="D140" s="107" t="s">
        <v>7</v>
      </c>
      <c r="E140" s="149">
        <f>5100*12</f>
        <v>61200</v>
      </c>
      <c r="F140" s="91">
        <v>40544</v>
      </c>
      <c r="G140" s="96">
        <v>40878</v>
      </c>
      <c r="H140" s="92" t="s">
        <v>110</v>
      </c>
      <c r="I140" s="87" t="s">
        <v>10</v>
      </c>
      <c r="J140" s="83">
        <v>40544</v>
      </c>
      <c r="K140" s="80" t="s">
        <v>159</v>
      </c>
      <c r="L140" s="112"/>
      <c r="M140" s="39" t="s">
        <v>8</v>
      </c>
      <c r="N140" s="35" t="s">
        <v>24</v>
      </c>
      <c r="O140" s="51"/>
      <c r="P140" s="49"/>
      <c r="Q140" s="11"/>
      <c r="R140" s="11"/>
      <c r="S140" s="11"/>
      <c r="T140" s="11"/>
      <c r="U140" s="1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1:65" s="32" customFormat="1" ht="62.25" customHeight="1">
      <c r="A141" s="86">
        <v>118</v>
      </c>
      <c r="B141" s="81">
        <v>1</v>
      </c>
      <c r="C141" s="128" t="s">
        <v>181</v>
      </c>
      <c r="D141" s="107" t="s">
        <v>7</v>
      </c>
      <c r="E141" s="149">
        <f>8009.93*2*12</f>
        <v>192238.32</v>
      </c>
      <c r="F141" s="91">
        <v>40544</v>
      </c>
      <c r="G141" s="96">
        <v>40878</v>
      </c>
      <c r="H141" s="92" t="s">
        <v>113</v>
      </c>
      <c r="I141" s="87" t="s">
        <v>10</v>
      </c>
      <c r="J141" s="83">
        <v>40544</v>
      </c>
      <c r="K141" s="80" t="s">
        <v>159</v>
      </c>
      <c r="L141" s="112"/>
      <c r="M141" s="39" t="s">
        <v>8</v>
      </c>
      <c r="N141" s="35" t="s">
        <v>24</v>
      </c>
      <c r="O141" s="51"/>
      <c r="P141" s="49"/>
      <c r="Q141" s="11"/>
      <c r="R141" s="11"/>
      <c r="S141" s="11"/>
      <c r="T141" s="11"/>
      <c r="U141" s="1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1:65" s="32" customFormat="1" ht="57.75" customHeight="1">
      <c r="A142" s="86">
        <v>119</v>
      </c>
      <c r="B142" s="81">
        <v>1</v>
      </c>
      <c r="C142" s="128" t="s">
        <v>182</v>
      </c>
      <c r="D142" s="107" t="s">
        <v>7</v>
      </c>
      <c r="E142" s="149">
        <f>6834.7*12</f>
        <v>82016.4</v>
      </c>
      <c r="F142" s="91">
        <v>40544</v>
      </c>
      <c r="G142" s="96">
        <v>40878</v>
      </c>
      <c r="H142" s="92" t="s">
        <v>111</v>
      </c>
      <c r="I142" s="87" t="s">
        <v>10</v>
      </c>
      <c r="J142" s="83">
        <v>40544</v>
      </c>
      <c r="K142" s="80" t="s">
        <v>159</v>
      </c>
      <c r="L142" s="112"/>
      <c r="M142" s="39" t="s">
        <v>8</v>
      </c>
      <c r="N142" s="35" t="s">
        <v>24</v>
      </c>
      <c r="O142" s="51"/>
      <c r="P142" s="49"/>
      <c r="Q142" s="11"/>
      <c r="R142" s="11"/>
      <c r="S142" s="11"/>
      <c r="T142" s="11"/>
      <c r="U142" s="1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1:65" s="32" customFormat="1" ht="51.75" customHeight="1">
      <c r="A143" s="86">
        <v>120</v>
      </c>
      <c r="B143" s="81">
        <v>1</v>
      </c>
      <c r="C143" s="128" t="s">
        <v>183</v>
      </c>
      <c r="D143" s="107" t="s">
        <v>7</v>
      </c>
      <c r="E143" s="149">
        <f>6624*4+7144.5*8</f>
        <v>83652</v>
      </c>
      <c r="F143" s="91">
        <v>40664</v>
      </c>
      <c r="G143" s="96">
        <v>41030</v>
      </c>
      <c r="H143" s="92" t="s">
        <v>110</v>
      </c>
      <c r="I143" s="87" t="s">
        <v>10</v>
      </c>
      <c r="J143" s="91">
        <v>40664</v>
      </c>
      <c r="K143" s="80" t="s">
        <v>159</v>
      </c>
      <c r="L143" s="112"/>
      <c r="M143" s="39" t="s">
        <v>8</v>
      </c>
      <c r="N143" s="35" t="s">
        <v>24</v>
      </c>
      <c r="O143" s="51"/>
      <c r="P143" s="49"/>
      <c r="Q143" s="11"/>
      <c r="R143" s="11"/>
      <c r="S143" s="11"/>
      <c r="T143" s="11"/>
      <c r="U143" s="1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</row>
    <row r="144" spans="1:65" s="32" customFormat="1" ht="43.5" customHeight="1">
      <c r="A144" s="86">
        <v>121</v>
      </c>
      <c r="B144" s="81">
        <v>1</v>
      </c>
      <c r="C144" s="128" t="s">
        <v>184</v>
      </c>
      <c r="D144" s="107" t="s">
        <v>7</v>
      </c>
      <c r="E144" s="149">
        <f>6624*4+7144.5*8</f>
        <v>83652</v>
      </c>
      <c r="F144" s="91">
        <v>40664</v>
      </c>
      <c r="G144" s="96">
        <v>41030</v>
      </c>
      <c r="H144" s="92" t="s">
        <v>113</v>
      </c>
      <c r="I144" s="87" t="s">
        <v>10</v>
      </c>
      <c r="J144" s="91">
        <v>40664</v>
      </c>
      <c r="K144" s="80" t="s">
        <v>159</v>
      </c>
      <c r="L144" s="112"/>
      <c r="M144" s="39" t="s">
        <v>8</v>
      </c>
      <c r="N144" s="35" t="s">
        <v>24</v>
      </c>
      <c r="O144" s="51"/>
      <c r="P144" s="49"/>
      <c r="Q144" s="11"/>
      <c r="R144" s="11"/>
      <c r="S144" s="11"/>
      <c r="T144" s="11"/>
      <c r="U144" s="1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</row>
    <row r="145" spans="1:65" s="32" customFormat="1" ht="48.75" customHeight="1">
      <c r="A145" s="86">
        <v>123</v>
      </c>
      <c r="B145" s="81">
        <v>1</v>
      </c>
      <c r="C145" s="128" t="s">
        <v>185</v>
      </c>
      <c r="D145" s="107" t="s">
        <v>7</v>
      </c>
      <c r="E145" s="149">
        <f>6632*12</f>
        <v>79584</v>
      </c>
      <c r="F145" s="91">
        <v>40544</v>
      </c>
      <c r="G145" s="96">
        <v>40878</v>
      </c>
      <c r="H145" s="92" t="s">
        <v>110</v>
      </c>
      <c r="I145" s="87" t="s">
        <v>10</v>
      </c>
      <c r="J145" s="83">
        <v>40544</v>
      </c>
      <c r="K145" s="80" t="s">
        <v>159</v>
      </c>
      <c r="L145" s="112"/>
      <c r="M145" s="39" t="s">
        <v>8</v>
      </c>
      <c r="N145" s="35" t="s">
        <v>24</v>
      </c>
      <c r="O145" s="51"/>
      <c r="P145" s="49"/>
      <c r="Q145" s="11"/>
      <c r="R145" s="11"/>
      <c r="S145" s="11"/>
      <c r="T145" s="11"/>
      <c r="U145" s="1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</row>
    <row r="146" spans="1:65" s="32" customFormat="1" ht="47.25" customHeight="1">
      <c r="A146" s="86">
        <v>124</v>
      </c>
      <c r="B146" s="81">
        <v>1</v>
      </c>
      <c r="C146" s="128" t="s">
        <v>186</v>
      </c>
      <c r="D146" s="107" t="s">
        <v>7</v>
      </c>
      <c r="E146" s="149">
        <f>2200*12</f>
        <v>26400</v>
      </c>
      <c r="F146" s="91">
        <v>40544</v>
      </c>
      <c r="G146" s="96">
        <v>40878</v>
      </c>
      <c r="H146" s="92" t="s">
        <v>113</v>
      </c>
      <c r="I146" s="87" t="s">
        <v>10</v>
      </c>
      <c r="J146" s="83">
        <v>40544</v>
      </c>
      <c r="K146" s="80" t="s">
        <v>159</v>
      </c>
      <c r="L146" s="112"/>
      <c r="M146" s="39" t="s">
        <v>8</v>
      </c>
      <c r="N146" s="35" t="s">
        <v>24</v>
      </c>
      <c r="O146" s="51"/>
      <c r="P146" s="49"/>
      <c r="Q146" s="11"/>
      <c r="R146" s="11"/>
      <c r="S146" s="11"/>
      <c r="T146" s="11"/>
      <c r="U146" s="1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</row>
    <row r="147" spans="1:65" s="32" customFormat="1" ht="50.25" customHeight="1">
      <c r="A147" s="86">
        <v>125</v>
      </c>
      <c r="B147" s="81">
        <v>1</v>
      </c>
      <c r="C147" s="128" t="s">
        <v>58</v>
      </c>
      <c r="D147" s="107" t="s">
        <v>7</v>
      </c>
      <c r="E147" s="149">
        <f>8500*12</f>
        <v>102000</v>
      </c>
      <c r="F147" s="91">
        <v>40544</v>
      </c>
      <c r="G147" s="96">
        <v>40878</v>
      </c>
      <c r="H147" s="92" t="s">
        <v>110</v>
      </c>
      <c r="I147" s="87" t="s">
        <v>10</v>
      </c>
      <c r="J147" s="83">
        <v>40544</v>
      </c>
      <c r="K147" s="80" t="s">
        <v>159</v>
      </c>
      <c r="L147" s="112"/>
      <c r="M147" s="39" t="s">
        <v>8</v>
      </c>
      <c r="N147" s="35" t="s">
        <v>24</v>
      </c>
      <c r="O147" s="51"/>
      <c r="P147" s="49"/>
      <c r="Q147" s="11"/>
      <c r="R147" s="11"/>
      <c r="S147" s="11"/>
      <c r="T147" s="11"/>
      <c r="U147" s="1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</row>
    <row r="148" spans="1:65" s="32" customFormat="1" ht="71.25" customHeight="1">
      <c r="A148" s="86">
        <v>126</v>
      </c>
      <c r="B148" s="81">
        <v>1</v>
      </c>
      <c r="C148" s="128" t="s">
        <v>44</v>
      </c>
      <c r="D148" s="107" t="s">
        <v>7</v>
      </c>
      <c r="E148" s="149">
        <f>'[2]БДР'!$E$127*1000</f>
        <v>933871.8200000001</v>
      </c>
      <c r="F148" s="91">
        <v>40544</v>
      </c>
      <c r="G148" s="96">
        <v>40878</v>
      </c>
      <c r="H148" s="92" t="s">
        <v>82</v>
      </c>
      <c r="I148" s="87" t="s">
        <v>10</v>
      </c>
      <c r="J148" s="83">
        <v>40544</v>
      </c>
      <c r="K148" s="80" t="s">
        <v>150</v>
      </c>
      <c r="L148" s="114" t="s">
        <v>173</v>
      </c>
      <c r="M148" s="39" t="s">
        <v>8</v>
      </c>
      <c r="N148" s="35" t="s">
        <v>24</v>
      </c>
      <c r="O148" s="51"/>
      <c r="P148" s="49"/>
      <c r="Q148" s="11"/>
      <c r="R148" s="11"/>
      <c r="S148" s="11"/>
      <c r="T148" s="11"/>
      <c r="U148" s="1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</row>
    <row r="149" spans="1:65" s="32" customFormat="1" ht="27.75" customHeight="1">
      <c r="A149" s="86">
        <v>127</v>
      </c>
      <c r="B149" s="81">
        <v>1</v>
      </c>
      <c r="C149" s="128" t="s">
        <v>23</v>
      </c>
      <c r="D149" s="107" t="s">
        <v>7</v>
      </c>
      <c r="E149" s="149">
        <f>'[2]БДР'!$E$134*1000-E150</f>
        <v>66424.44</v>
      </c>
      <c r="F149" s="91">
        <v>40544</v>
      </c>
      <c r="G149" s="96">
        <v>40878</v>
      </c>
      <c r="H149" s="92" t="s">
        <v>82</v>
      </c>
      <c r="I149" s="87" t="s">
        <v>10</v>
      </c>
      <c r="J149" s="83">
        <v>40544</v>
      </c>
      <c r="K149" s="80" t="s">
        <v>117</v>
      </c>
      <c r="L149" s="112"/>
      <c r="M149" s="39" t="s">
        <v>8</v>
      </c>
      <c r="N149" s="35" t="s">
        <v>24</v>
      </c>
      <c r="O149" s="51"/>
      <c r="P149" s="49"/>
      <c r="Q149" s="11"/>
      <c r="R149" s="11"/>
      <c r="S149" s="11"/>
      <c r="T149" s="11"/>
      <c r="U149" s="1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</row>
    <row r="150" spans="1:65" s="32" customFormat="1" ht="39" customHeight="1">
      <c r="A150" s="86">
        <v>128</v>
      </c>
      <c r="B150" s="81">
        <v>1</v>
      </c>
      <c r="C150" s="128" t="s">
        <v>239</v>
      </c>
      <c r="D150" s="107" t="s">
        <v>7</v>
      </c>
      <c r="E150" s="149">
        <v>380000</v>
      </c>
      <c r="F150" s="91">
        <v>40756</v>
      </c>
      <c r="G150" s="96">
        <v>40878</v>
      </c>
      <c r="H150" s="92" t="s">
        <v>240</v>
      </c>
      <c r="I150" s="146" t="s">
        <v>268</v>
      </c>
      <c r="J150" s="91">
        <v>40756</v>
      </c>
      <c r="K150" s="80" t="s">
        <v>117</v>
      </c>
      <c r="L150" s="112"/>
      <c r="M150" s="39"/>
      <c r="N150" s="35"/>
      <c r="O150" s="51"/>
      <c r="P150" s="49"/>
      <c r="Q150" s="11"/>
      <c r="R150" s="11"/>
      <c r="S150" s="11"/>
      <c r="T150" s="11"/>
      <c r="U150" s="1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</row>
    <row r="151" spans="1:65" s="32" customFormat="1" ht="31.5" customHeight="1">
      <c r="A151" s="86">
        <v>129</v>
      </c>
      <c r="B151" s="81">
        <v>1</v>
      </c>
      <c r="C151" s="128" t="s">
        <v>34</v>
      </c>
      <c r="D151" s="107" t="s">
        <v>7</v>
      </c>
      <c r="E151" s="149">
        <f>'[12]2011 нов.'!$H$42*4</f>
        <v>68412.622432</v>
      </c>
      <c r="F151" s="91">
        <v>40544</v>
      </c>
      <c r="G151" s="96">
        <v>40878</v>
      </c>
      <c r="H151" s="92" t="s">
        <v>82</v>
      </c>
      <c r="I151" s="87" t="s">
        <v>10</v>
      </c>
      <c r="J151" s="83">
        <v>40544</v>
      </c>
      <c r="K151" s="80" t="s">
        <v>158</v>
      </c>
      <c r="L151" s="112"/>
      <c r="M151" s="39" t="s">
        <v>8</v>
      </c>
      <c r="N151" s="35" t="s">
        <v>24</v>
      </c>
      <c r="O151" s="51"/>
      <c r="P151" s="49"/>
      <c r="Q151" s="11"/>
      <c r="R151" s="11"/>
      <c r="S151" s="11"/>
      <c r="T151" s="11"/>
      <c r="U151" s="1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</row>
    <row r="152" spans="1:65" s="32" customFormat="1" ht="27.75" customHeight="1">
      <c r="A152" s="86">
        <v>130</v>
      </c>
      <c r="B152" s="81">
        <v>1</v>
      </c>
      <c r="C152" s="128" t="s">
        <v>35</v>
      </c>
      <c r="D152" s="107" t="s">
        <v>7</v>
      </c>
      <c r="E152" s="149">
        <f>'[8]Лист1'!$M$8</f>
        <v>34914.7</v>
      </c>
      <c r="F152" s="91">
        <v>40544</v>
      </c>
      <c r="G152" s="96">
        <v>40878</v>
      </c>
      <c r="H152" s="92" t="s">
        <v>82</v>
      </c>
      <c r="I152" s="87" t="s">
        <v>10</v>
      </c>
      <c r="J152" s="83">
        <v>40544</v>
      </c>
      <c r="K152" s="80" t="s">
        <v>254</v>
      </c>
      <c r="L152" s="112"/>
      <c r="M152" s="39" t="s">
        <v>8</v>
      </c>
      <c r="N152" s="35" t="s">
        <v>24</v>
      </c>
      <c r="O152" s="51"/>
      <c r="P152" s="49"/>
      <c r="Q152" s="11"/>
      <c r="R152" s="11"/>
      <c r="S152" s="11"/>
      <c r="T152" s="11"/>
      <c r="U152" s="1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spans="1:65" s="32" customFormat="1" ht="30" customHeight="1">
      <c r="A153" s="86">
        <v>131</v>
      </c>
      <c r="B153" s="81">
        <v>1</v>
      </c>
      <c r="C153" s="128" t="s">
        <v>166</v>
      </c>
      <c r="D153" s="107" t="s">
        <v>7</v>
      </c>
      <c r="E153" s="149">
        <f>'[2]БДР'!$E$86*1000</f>
        <v>1565606.6</v>
      </c>
      <c r="F153" s="91">
        <v>40544</v>
      </c>
      <c r="G153" s="96">
        <v>40878</v>
      </c>
      <c r="H153" s="92" t="s">
        <v>82</v>
      </c>
      <c r="I153" s="87" t="s">
        <v>10</v>
      </c>
      <c r="J153" s="83">
        <v>40544</v>
      </c>
      <c r="K153" s="80" t="s">
        <v>167</v>
      </c>
      <c r="L153" s="112" t="s">
        <v>173</v>
      </c>
      <c r="M153" s="39"/>
      <c r="N153" s="35"/>
      <c r="O153" s="51"/>
      <c r="P153" s="49"/>
      <c r="Q153" s="11"/>
      <c r="R153" s="11"/>
      <c r="S153" s="11"/>
      <c r="T153" s="11"/>
      <c r="U153" s="1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spans="1:65" s="32" customFormat="1" ht="64.5" customHeight="1">
      <c r="A154" s="86">
        <v>132</v>
      </c>
      <c r="B154" s="81">
        <v>1</v>
      </c>
      <c r="C154" s="128" t="s">
        <v>45</v>
      </c>
      <c r="D154" s="107" t="s">
        <v>7</v>
      </c>
      <c r="E154" s="149">
        <f>'[2]БДР'!$E$133*1000</f>
        <v>272173</v>
      </c>
      <c r="F154" s="91">
        <v>40664</v>
      </c>
      <c r="G154" s="96">
        <v>40878</v>
      </c>
      <c r="H154" s="92" t="s">
        <v>82</v>
      </c>
      <c r="I154" s="87" t="s">
        <v>10</v>
      </c>
      <c r="J154" s="91">
        <v>40634</v>
      </c>
      <c r="K154" s="80" t="s">
        <v>99</v>
      </c>
      <c r="L154" s="112"/>
      <c r="M154" s="39" t="s">
        <v>8</v>
      </c>
      <c r="N154" s="35" t="s">
        <v>24</v>
      </c>
      <c r="O154" s="51"/>
      <c r="P154" s="49"/>
      <c r="Q154" s="11"/>
      <c r="R154" s="11"/>
      <c r="S154" s="11"/>
      <c r="T154" s="11"/>
      <c r="U154" s="1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spans="1:65" s="32" customFormat="1" ht="55.5" customHeight="1">
      <c r="A155" s="86">
        <v>133</v>
      </c>
      <c r="B155" s="81">
        <v>1</v>
      </c>
      <c r="C155" s="128" t="s">
        <v>104</v>
      </c>
      <c r="D155" s="107" t="s">
        <v>7</v>
      </c>
      <c r="E155" s="149">
        <v>120000</v>
      </c>
      <c r="F155" s="91">
        <v>40544</v>
      </c>
      <c r="G155" s="96">
        <v>40878</v>
      </c>
      <c r="H155" s="92" t="s">
        <v>110</v>
      </c>
      <c r="I155" s="80" t="s">
        <v>10</v>
      </c>
      <c r="J155" s="83">
        <v>40544</v>
      </c>
      <c r="K155" s="80" t="s">
        <v>105</v>
      </c>
      <c r="L155" s="112"/>
      <c r="M155" s="39" t="s">
        <v>8</v>
      </c>
      <c r="N155" s="35" t="s">
        <v>24</v>
      </c>
      <c r="O155" s="51"/>
      <c r="P155" s="49"/>
      <c r="Q155" s="11"/>
      <c r="R155" s="11"/>
      <c r="S155" s="11"/>
      <c r="T155" s="11"/>
      <c r="U155" s="1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  <row r="156" spans="1:65" s="32" customFormat="1" ht="61.5" customHeight="1">
      <c r="A156" s="86">
        <v>134</v>
      </c>
      <c r="B156" s="81">
        <v>1</v>
      </c>
      <c r="C156" s="128" t="s">
        <v>102</v>
      </c>
      <c r="D156" s="107" t="s">
        <v>7</v>
      </c>
      <c r="E156" s="149">
        <v>129000</v>
      </c>
      <c r="F156" s="91">
        <v>40544</v>
      </c>
      <c r="G156" s="96">
        <v>40878</v>
      </c>
      <c r="H156" s="92" t="s">
        <v>111</v>
      </c>
      <c r="I156" s="87" t="s">
        <v>10</v>
      </c>
      <c r="J156" s="83">
        <v>40544</v>
      </c>
      <c r="K156" s="80" t="s">
        <v>105</v>
      </c>
      <c r="L156" s="112"/>
      <c r="M156" s="39" t="s">
        <v>8</v>
      </c>
      <c r="N156" s="35" t="s">
        <v>24</v>
      </c>
      <c r="O156" s="51"/>
      <c r="P156" s="49"/>
      <c r="Q156" s="11"/>
      <c r="R156" s="11"/>
      <c r="S156" s="11"/>
      <c r="T156" s="11"/>
      <c r="U156" s="1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</row>
    <row r="157" spans="1:65" s="32" customFormat="1" ht="54" customHeight="1">
      <c r="A157" s="86">
        <v>135</v>
      </c>
      <c r="B157" s="81">
        <v>1</v>
      </c>
      <c r="C157" s="128" t="s">
        <v>101</v>
      </c>
      <c r="D157" s="107" t="s">
        <v>7</v>
      </c>
      <c r="E157" s="149">
        <v>110000</v>
      </c>
      <c r="F157" s="91">
        <v>40544</v>
      </c>
      <c r="G157" s="96">
        <v>40878</v>
      </c>
      <c r="H157" s="92" t="s">
        <v>113</v>
      </c>
      <c r="I157" s="87" t="s">
        <v>10</v>
      </c>
      <c r="J157" s="83">
        <v>40544</v>
      </c>
      <c r="K157" s="80" t="s">
        <v>105</v>
      </c>
      <c r="L157" s="112"/>
      <c r="M157" s="39" t="s">
        <v>8</v>
      </c>
      <c r="N157" s="35" t="s">
        <v>24</v>
      </c>
      <c r="O157" s="51"/>
      <c r="P157" s="49"/>
      <c r="Q157" s="11"/>
      <c r="R157" s="11"/>
      <c r="S157" s="11"/>
      <c r="T157" s="11"/>
      <c r="U157" s="1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</row>
    <row r="158" spans="1:65" s="32" customFormat="1" ht="54" customHeight="1">
      <c r="A158" s="86">
        <v>136</v>
      </c>
      <c r="B158" s="81">
        <v>1</v>
      </c>
      <c r="C158" s="128" t="s">
        <v>103</v>
      </c>
      <c r="D158" s="107" t="s">
        <v>7</v>
      </c>
      <c r="E158" s="149">
        <v>180000</v>
      </c>
      <c r="F158" s="91">
        <v>40544</v>
      </c>
      <c r="G158" s="96">
        <v>40878</v>
      </c>
      <c r="H158" s="92" t="s">
        <v>112</v>
      </c>
      <c r="I158" s="87" t="s">
        <v>10</v>
      </c>
      <c r="J158" s="83">
        <v>40544</v>
      </c>
      <c r="K158" s="80" t="s">
        <v>105</v>
      </c>
      <c r="L158" s="112"/>
      <c r="M158" s="39"/>
      <c r="N158" s="35"/>
      <c r="O158" s="51"/>
      <c r="P158" s="49"/>
      <c r="Q158" s="11"/>
      <c r="R158" s="11"/>
      <c r="S158" s="11"/>
      <c r="T158" s="11"/>
      <c r="U158" s="1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spans="1:65" s="32" customFormat="1" ht="54" customHeight="1">
      <c r="A159" s="86">
        <v>137</v>
      </c>
      <c r="B159" s="81">
        <v>1</v>
      </c>
      <c r="C159" s="161" t="s">
        <v>46</v>
      </c>
      <c r="D159" s="107" t="s">
        <v>7</v>
      </c>
      <c r="E159" s="149">
        <f>9343*12</f>
        <v>112116</v>
      </c>
      <c r="F159" s="91">
        <v>40544</v>
      </c>
      <c r="G159" s="96">
        <v>40878</v>
      </c>
      <c r="H159" s="92" t="s">
        <v>82</v>
      </c>
      <c r="I159" s="87" t="s">
        <v>10</v>
      </c>
      <c r="J159" s="91">
        <v>40544</v>
      </c>
      <c r="K159" s="87" t="s">
        <v>159</v>
      </c>
      <c r="L159" s="112"/>
      <c r="M159" s="39"/>
      <c r="N159" s="35"/>
      <c r="O159" s="51"/>
      <c r="P159" s="49"/>
      <c r="Q159" s="11"/>
      <c r="R159" s="11"/>
      <c r="S159" s="11"/>
      <c r="T159" s="11"/>
      <c r="U159" s="1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1:65" s="32" customFormat="1" ht="46.5" customHeight="1">
      <c r="A160" s="79">
        <v>138</v>
      </c>
      <c r="B160" s="121">
        <v>1</v>
      </c>
      <c r="C160" s="127" t="s">
        <v>187</v>
      </c>
      <c r="D160" s="120" t="s">
        <v>7</v>
      </c>
      <c r="E160" s="152">
        <v>500000</v>
      </c>
      <c r="F160" s="83">
        <v>40848</v>
      </c>
      <c r="G160" s="95">
        <v>40848</v>
      </c>
      <c r="H160" s="84" t="s">
        <v>82</v>
      </c>
      <c r="I160" s="159" t="s">
        <v>171</v>
      </c>
      <c r="J160" s="83">
        <v>40848</v>
      </c>
      <c r="K160" s="80" t="s">
        <v>120</v>
      </c>
      <c r="L160" s="113"/>
      <c r="M160" s="39" t="s">
        <v>8</v>
      </c>
      <c r="N160" s="35" t="s">
        <v>24</v>
      </c>
      <c r="O160" s="51"/>
      <c r="P160" s="49"/>
      <c r="Q160" s="11"/>
      <c r="R160" s="11"/>
      <c r="S160" s="11"/>
      <c r="T160" s="11"/>
      <c r="U160" s="1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1:65" s="32" customFormat="1" ht="50.25" customHeight="1">
      <c r="A161" s="86">
        <v>139</v>
      </c>
      <c r="B161" s="122">
        <v>1</v>
      </c>
      <c r="C161" s="128" t="s">
        <v>57</v>
      </c>
      <c r="D161" s="107" t="s">
        <v>7</v>
      </c>
      <c r="E161" s="153">
        <v>5844746</v>
      </c>
      <c r="F161" s="91">
        <v>40909</v>
      </c>
      <c r="G161" s="96">
        <v>41244</v>
      </c>
      <c r="H161" s="92" t="s">
        <v>82</v>
      </c>
      <c r="I161" s="160" t="s">
        <v>14</v>
      </c>
      <c r="J161" s="91">
        <v>40878</v>
      </c>
      <c r="K161" s="87" t="s">
        <v>96</v>
      </c>
      <c r="L161" s="112"/>
      <c r="M161" s="69" t="s">
        <v>8</v>
      </c>
      <c r="N161" s="36" t="s">
        <v>24</v>
      </c>
      <c r="O161" s="52"/>
      <c r="P161" s="49"/>
      <c r="Q161" s="11"/>
      <c r="R161" s="11"/>
      <c r="S161" s="11"/>
      <c r="T161" s="11"/>
      <c r="U161" s="11"/>
      <c r="V161" s="11"/>
      <c r="W161" s="11"/>
      <c r="X161" s="1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1:65" s="32" customFormat="1" ht="50.25" customHeight="1">
      <c r="A162" s="86">
        <v>140</v>
      </c>
      <c r="B162" s="122">
        <v>1</v>
      </c>
      <c r="C162" s="128" t="s">
        <v>248</v>
      </c>
      <c r="D162" s="107" t="s">
        <v>7</v>
      </c>
      <c r="E162" s="153">
        <f>'[2]БДР'!$E$96*1000</f>
        <v>16144.065084745765</v>
      </c>
      <c r="F162" s="91">
        <v>40544</v>
      </c>
      <c r="G162" s="96">
        <v>40878</v>
      </c>
      <c r="H162" s="92" t="s">
        <v>82</v>
      </c>
      <c r="I162" s="87" t="s">
        <v>10</v>
      </c>
      <c r="J162" s="91">
        <v>40544</v>
      </c>
      <c r="K162" s="80" t="s">
        <v>249</v>
      </c>
      <c r="L162" s="112"/>
      <c r="M162" s="69" t="s">
        <v>8</v>
      </c>
      <c r="N162" s="36" t="s">
        <v>24</v>
      </c>
      <c r="O162" s="52"/>
      <c r="P162" s="49"/>
      <c r="Q162" s="11"/>
      <c r="R162" s="11"/>
      <c r="S162" s="11"/>
      <c r="T162" s="11"/>
      <c r="U162" s="11"/>
      <c r="V162" s="11"/>
      <c r="W162" s="11"/>
      <c r="X162" s="1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spans="1:65" s="32" customFormat="1" ht="68.25" customHeight="1">
      <c r="A163" s="86">
        <v>141</v>
      </c>
      <c r="B163" s="81">
        <v>1</v>
      </c>
      <c r="C163" s="128" t="s">
        <v>251</v>
      </c>
      <c r="D163" s="107" t="s">
        <v>7</v>
      </c>
      <c r="E163" s="153">
        <f>'[2]БДР'!$E$137*1000-E164</f>
        <v>199634.80000000002</v>
      </c>
      <c r="F163" s="91">
        <v>40544</v>
      </c>
      <c r="G163" s="96">
        <v>40878</v>
      </c>
      <c r="H163" s="92" t="s">
        <v>82</v>
      </c>
      <c r="I163" s="87" t="s">
        <v>10</v>
      </c>
      <c r="J163" s="91">
        <v>40544</v>
      </c>
      <c r="K163" s="80" t="s">
        <v>250</v>
      </c>
      <c r="L163" s="112" t="s">
        <v>287</v>
      </c>
      <c r="M163" s="69"/>
      <c r="N163" s="36"/>
      <c r="O163" s="52"/>
      <c r="P163" s="49"/>
      <c r="Q163" s="11"/>
      <c r="R163" s="11"/>
      <c r="S163" s="11"/>
      <c r="T163" s="11"/>
      <c r="U163" s="11"/>
      <c r="V163" s="11"/>
      <c r="W163" s="11"/>
      <c r="X163" s="1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spans="1:65" s="32" customFormat="1" ht="68.25" customHeight="1">
      <c r="A164" s="86">
        <v>142</v>
      </c>
      <c r="B164" s="81">
        <v>1</v>
      </c>
      <c r="C164" s="128" t="s">
        <v>252</v>
      </c>
      <c r="D164" s="107" t="s">
        <v>7</v>
      </c>
      <c r="E164" s="153">
        <v>30000</v>
      </c>
      <c r="F164" s="91">
        <v>40544</v>
      </c>
      <c r="G164" s="96">
        <v>40878</v>
      </c>
      <c r="H164" s="92" t="s">
        <v>82</v>
      </c>
      <c r="I164" s="87" t="s">
        <v>10</v>
      </c>
      <c r="J164" s="91">
        <v>40544</v>
      </c>
      <c r="K164" s="80" t="s">
        <v>250</v>
      </c>
      <c r="L164" s="112"/>
      <c r="M164" s="69"/>
      <c r="N164" s="36"/>
      <c r="O164" s="52"/>
      <c r="P164" s="49"/>
      <c r="Q164" s="11"/>
      <c r="R164" s="11"/>
      <c r="S164" s="11"/>
      <c r="T164" s="11"/>
      <c r="U164" s="11"/>
      <c r="V164" s="11"/>
      <c r="W164" s="11"/>
      <c r="X164" s="1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spans="1:65" s="32" customFormat="1" ht="50.25" customHeight="1">
      <c r="A165" s="86">
        <v>143</v>
      </c>
      <c r="B165" s="81">
        <v>1</v>
      </c>
      <c r="C165" s="128" t="s">
        <v>245</v>
      </c>
      <c r="D165" s="107" t="s">
        <v>7</v>
      </c>
      <c r="E165" s="153">
        <f>'[2]БДР'!$E$79*1000</f>
        <v>41640</v>
      </c>
      <c r="F165" s="91">
        <v>40544</v>
      </c>
      <c r="G165" s="96">
        <v>40878</v>
      </c>
      <c r="H165" s="92" t="s">
        <v>82</v>
      </c>
      <c r="I165" s="87" t="s">
        <v>10</v>
      </c>
      <c r="J165" s="91">
        <v>40544</v>
      </c>
      <c r="K165" s="87" t="s">
        <v>247</v>
      </c>
      <c r="L165" s="112"/>
      <c r="M165" s="69" t="s">
        <v>8</v>
      </c>
      <c r="N165" s="36" t="s">
        <v>24</v>
      </c>
      <c r="O165" s="52"/>
      <c r="P165" s="49"/>
      <c r="Q165" s="11"/>
      <c r="R165" s="11"/>
      <c r="S165" s="11"/>
      <c r="T165" s="11"/>
      <c r="U165" s="11"/>
      <c r="V165" s="11"/>
      <c r="W165" s="11"/>
      <c r="X165" s="1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spans="1:65" s="32" customFormat="1" ht="50.25" customHeight="1">
      <c r="A166" s="86">
        <v>144</v>
      </c>
      <c r="B166" s="81">
        <v>1</v>
      </c>
      <c r="C166" s="128" t="s">
        <v>244</v>
      </c>
      <c r="D166" s="107" t="s">
        <v>7</v>
      </c>
      <c r="E166" s="153">
        <v>15580.7</v>
      </c>
      <c r="F166" s="91">
        <v>40544</v>
      </c>
      <c r="G166" s="96">
        <v>40878</v>
      </c>
      <c r="H166" s="92" t="s">
        <v>82</v>
      </c>
      <c r="I166" s="87" t="s">
        <v>10</v>
      </c>
      <c r="J166" s="91">
        <v>40544</v>
      </c>
      <c r="K166" s="87" t="s">
        <v>246</v>
      </c>
      <c r="L166" s="112"/>
      <c r="M166" s="69" t="s">
        <v>8</v>
      </c>
      <c r="N166" s="36" t="s">
        <v>24</v>
      </c>
      <c r="O166" s="52"/>
      <c r="P166" s="49"/>
      <c r="Q166" s="11"/>
      <c r="R166" s="11"/>
      <c r="S166" s="11"/>
      <c r="T166" s="11"/>
      <c r="U166" s="11"/>
      <c r="V166" s="11"/>
      <c r="W166" s="11"/>
      <c r="X166" s="1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spans="1:65" s="32" customFormat="1" ht="50.25" customHeight="1">
      <c r="A167" s="79">
        <v>145</v>
      </c>
      <c r="B167" s="81">
        <v>1</v>
      </c>
      <c r="C167" s="143" t="s">
        <v>253</v>
      </c>
      <c r="D167" s="107" t="s">
        <v>39</v>
      </c>
      <c r="E167" s="152">
        <f>'[2]БДР'!$E$212*1000</f>
        <v>114521.81</v>
      </c>
      <c r="F167" s="91">
        <v>40544</v>
      </c>
      <c r="G167" s="96">
        <v>40878</v>
      </c>
      <c r="H167" s="92" t="s">
        <v>82</v>
      </c>
      <c r="I167" s="87" t="s">
        <v>10</v>
      </c>
      <c r="J167" s="91">
        <v>40544</v>
      </c>
      <c r="K167" s="144" t="s">
        <v>255</v>
      </c>
      <c r="L167" s="113"/>
      <c r="M167" s="69"/>
      <c r="N167" s="36"/>
      <c r="O167" s="52"/>
      <c r="P167" s="49"/>
      <c r="Q167" s="11"/>
      <c r="R167" s="11"/>
      <c r="S167" s="11"/>
      <c r="T167" s="11"/>
      <c r="U167" s="11"/>
      <c r="V167" s="11"/>
      <c r="W167" s="11"/>
      <c r="X167" s="1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spans="1:65" s="32" customFormat="1" ht="68.25" customHeight="1" thickBot="1">
      <c r="A168" s="86">
        <v>146</v>
      </c>
      <c r="B168" s="81">
        <v>1</v>
      </c>
      <c r="C168" s="128" t="s">
        <v>275</v>
      </c>
      <c r="D168" s="107" t="s">
        <v>7</v>
      </c>
      <c r="E168" s="153">
        <v>37000</v>
      </c>
      <c r="F168" s="91">
        <v>40695</v>
      </c>
      <c r="G168" s="96">
        <v>40725</v>
      </c>
      <c r="H168" s="92" t="s">
        <v>82</v>
      </c>
      <c r="I168" s="87" t="s">
        <v>10</v>
      </c>
      <c r="J168" s="91">
        <v>40695</v>
      </c>
      <c r="K168" s="87" t="s">
        <v>145</v>
      </c>
      <c r="L168" s="112"/>
      <c r="M168" s="69"/>
      <c r="N168" s="36"/>
      <c r="O168" s="52"/>
      <c r="P168" s="49"/>
      <c r="Q168" s="11"/>
      <c r="R168" s="11"/>
      <c r="S168" s="11"/>
      <c r="T168" s="11"/>
      <c r="U168" s="11"/>
      <c r="V168" s="11"/>
      <c r="W168" s="11"/>
      <c r="X168" s="1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1:20" ht="27" customHeight="1" thickBot="1">
      <c r="A169" s="17"/>
      <c r="B169" s="7"/>
      <c r="C169" s="19"/>
      <c r="D169" s="8"/>
      <c r="E169" s="8"/>
      <c r="F169" s="8"/>
      <c r="G169" s="20"/>
      <c r="H169" s="8"/>
      <c r="I169" s="21"/>
      <c r="J169" s="21"/>
      <c r="K169" s="21"/>
      <c r="L169" s="66"/>
      <c r="M169" s="12"/>
      <c r="N169" s="54"/>
      <c r="O169" s="66"/>
      <c r="P169" s="11"/>
      <c r="Q169" s="11"/>
      <c r="R169" s="11"/>
      <c r="S169" s="11"/>
      <c r="T169" s="11"/>
    </row>
    <row r="170" spans="1:20" ht="27" customHeight="1" thickBot="1">
      <c r="A170" s="17"/>
      <c r="B170" s="7"/>
      <c r="C170" s="19"/>
      <c r="D170" s="8"/>
      <c r="E170" s="8"/>
      <c r="F170" s="8"/>
      <c r="G170" s="20"/>
      <c r="H170" s="8"/>
      <c r="I170" s="21"/>
      <c r="J170" s="21"/>
      <c r="K170" s="21"/>
      <c r="L170" s="66"/>
      <c r="M170" s="12"/>
      <c r="N170" s="54"/>
      <c r="O170" s="66"/>
      <c r="P170" s="11"/>
      <c r="Q170" s="11"/>
      <c r="R170" s="11"/>
      <c r="S170" s="11"/>
      <c r="T170" s="11"/>
    </row>
    <row r="171" spans="1:16" ht="33" customHeight="1">
      <c r="A171" s="72"/>
      <c r="B171" s="71"/>
      <c r="C171" s="71"/>
      <c r="D171" s="70"/>
      <c r="E171" s="6"/>
      <c r="F171" s="4"/>
      <c r="G171" s="4"/>
      <c r="H171" s="4"/>
      <c r="I171" s="4"/>
      <c r="J171" s="4"/>
      <c r="K171" s="4"/>
      <c r="L171" s="4"/>
      <c r="M171" s="37" t="s">
        <v>8</v>
      </c>
      <c r="N171" s="37" t="s">
        <v>24</v>
      </c>
      <c r="O171" s="58"/>
      <c r="P171" s="66"/>
    </row>
    <row r="172" spans="1:59" s="31" customFormat="1" ht="55.5" customHeight="1" thickBot="1">
      <c r="A172" s="45"/>
      <c r="B172" s="25"/>
      <c r="C172" s="25"/>
      <c r="D172" s="25"/>
      <c r="E172" s="1"/>
      <c r="F172" s="41"/>
      <c r="G172" s="41"/>
      <c r="H172" s="41"/>
      <c r="I172" s="41"/>
      <c r="J172" s="41"/>
      <c r="K172" s="41"/>
      <c r="L172" s="41"/>
      <c r="M172" s="40" t="s">
        <v>8</v>
      </c>
      <c r="N172" s="40" t="s">
        <v>24</v>
      </c>
      <c r="O172" s="59"/>
      <c r="P172" s="66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</row>
    <row r="173" spans="1:59" s="32" customFormat="1" ht="28.5" customHeight="1" thickBot="1">
      <c r="A173" s="5"/>
      <c r="B173" s="1"/>
      <c r="C173" s="1"/>
      <c r="D173" s="1"/>
      <c r="E173" s="1"/>
      <c r="F173" s="41"/>
      <c r="G173" s="41"/>
      <c r="H173" s="41"/>
      <c r="I173" s="41"/>
      <c r="J173" s="41"/>
      <c r="K173" s="41"/>
      <c r="L173" s="41"/>
      <c r="M173" s="24"/>
      <c r="N173" s="24"/>
      <c r="O173" s="60"/>
      <c r="P173" s="66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</row>
    <row r="174" spans="6:16" ht="21" thickBot="1">
      <c r="F174" s="41"/>
      <c r="G174" s="41"/>
      <c r="H174" s="3"/>
      <c r="I174" s="3"/>
      <c r="J174" s="3"/>
      <c r="K174" s="29"/>
      <c r="L174" s="11"/>
      <c r="M174" s="14"/>
      <c r="N174" s="14"/>
      <c r="O174" s="53"/>
      <c r="P174" s="66"/>
    </row>
    <row r="175" spans="6:16" ht="18.75" customHeight="1">
      <c r="F175" s="44"/>
      <c r="G175" s="41"/>
      <c r="H175" s="3"/>
      <c r="I175" s="3"/>
      <c r="J175" s="3"/>
      <c r="K175" s="28"/>
      <c r="L175" s="11"/>
      <c r="M175" s="16"/>
      <c r="N175" s="16"/>
      <c r="O175" s="9"/>
      <c r="P175" s="11"/>
    </row>
    <row r="176" spans="6:16" ht="20.25" customHeight="1">
      <c r="F176" s="41"/>
      <c r="G176" s="41"/>
      <c r="H176" s="3"/>
      <c r="I176" s="3"/>
      <c r="J176" s="33"/>
      <c r="K176" s="28"/>
      <c r="L176" s="11"/>
      <c r="M176" s="6"/>
      <c r="N176" s="6"/>
      <c r="O176" s="5"/>
      <c r="P176" s="11"/>
    </row>
    <row r="177" spans="3:13" ht="20.25">
      <c r="C177" s="1" t="s">
        <v>260</v>
      </c>
      <c r="E177" s="147">
        <f>SUM(E16:E168)</f>
        <v>122353260.47084035</v>
      </c>
      <c r="F177" s="41"/>
      <c r="G177" s="41"/>
      <c r="H177" s="3"/>
      <c r="I177" s="3"/>
      <c r="J177" s="3"/>
      <c r="K177" s="11"/>
      <c r="L177" s="11"/>
      <c r="M177" s="41"/>
    </row>
    <row r="178" spans="3:13" ht="20.25">
      <c r="C178" s="1" t="s">
        <v>261</v>
      </c>
      <c r="E178" s="147">
        <f>SUM(E21:E30)+E39+E40+E41+SUM(E21:E30)+SUM(E44:E50)+SUM(E54:E63)+E65+E68+E69+E70+E72+E87+E92+E94+E95+E96+E97+E98+E99+E100+E101+E102+E103+E104+E105+E106+E109+E110+E160+E161+E150</f>
        <v>111410800.26440679</v>
      </c>
      <c r="F178" s="41"/>
      <c r="G178" s="41"/>
      <c r="H178" s="3"/>
      <c r="I178" s="3"/>
      <c r="J178" s="3"/>
      <c r="M178" s="41"/>
    </row>
    <row r="179" spans="3:13" ht="20.25">
      <c r="C179" s="1" t="s">
        <v>262</v>
      </c>
      <c r="E179" s="147">
        <f>E177-E178</f>
        <v>10942460.206433564</v>
      </c>
      <c r="F179" s="41"/>
      <c r="G179" s="41"/>
      <c r="H179" s="3"/>
      <c r="I179" s="3"/>
      <c r="J179" s="33"/>
      <c r="M179" s="11"/>
    </row>
    <row r="180" spans="6:13" ht="20.25">
      <c r="F180" s="41"/>
      <c r="G180" s="41"/>
      <c r="H180" s="3"/>
      <c r="I180" s="3"/>
      <c r="J180" s="3"/>
      <c r="M180" s="10"/>
    </row>
    <row r="181" spans="6:13" ht="18.75">
      <c r="F181" s="41"/>
      <c r="G181" s="41"/>
      <c r="M181" s="10"/>
    </row>
    <row r="182" spans="6:13" ht="18">
      <c r="F182" s="41"/>
      <c r="G182" s="41"/>
      <c r="M182" s="26" t="s">
        <v>50</v>
      </c>
    </row>
    <row r="183" spans="6:13" ht="18">
      <c r="F183" s="41"/>
      <c r="G183" s="41"/>
      <c r="M183" s="26" t="s">
        <v>50</v>
      </c>
    </row>
    <row r="184" spans="6:13" ht="18">
      <c r="F184" s="41"/>
      <c r="G184" s="41"/>
      <c r="M184" s="26" t="s">
        <v>50</v>
      </c>
    </row>
    <row r="185" spans="6:13" ht="18">
      <c r="F185" s="41"/>
      <c r="G185" s="41"/>
      <c r="M185" s="26" t="s">
        <v>50</v>
      </c>
    </row>
    <row r="186" spans="6:13" ht="18">
      <c r="F186" s="41"/>
      <c r="G186" s="41"/>
      <c r="M186" s="26" t="s">
        <v>50</v>
      </c>
    </row>
    <row r="187" spans="13:17" ht="18">
      <c r="M187" s="26" t="s">
        <v>50</v>
      </c>
      <c r="Q187" s="42"/>
    </row>
    <row r="188" ht="18">
      <c r="M188" s="11"/>
    </row>
    <row r="189" ht="18">
      <c r="M189" s="11"/>
    </row>
    <row r="190" ht="18">
      <c r="M190" s="11"/>
    </row>
    <row r="191" ht="18">
      <c r="M191" s="11"/>
    </row>
    <row r="192" ht="18">
      <c r="M192" s="11"/>
    </row>
    <row r="193" ht="18">
      <c r="M193" s="11"/>
    </row>
    <row r="197" ht="17.25" customHeight="1"/>
  </sheetData>
  <sheetProtection/>
  <printOptions/>
  <pageMargins left="0.1968503937007874" right="0.1968503937007874" top="0.1968503937007874" bottom="0.1968503937007874" header="0" footer="0"/>
  <pageSetup fitToHeight="4" horizontalDpi="1200" verticalDpi="12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esdirkou</dc:creator>
  <cp:keywords/>
  <dc:description/>
  <cp:lastModifiedBy>Михеев Е.Ю.</cp:lastModifiedBy>
  <cp:lastPrinted>2011-10-19T05:12:05Z</cp:lastPrinted>
  <dcterms:created xsi:type="dcterms:W3CDTF">2007-02-06T15:46:47Z</dcterms:created>
  <dcterms:modified xsi:type="dcterms:W3CDTF">2012-01-13T05:14:07Z</dcterms:modified>
  <cp:category/>
  <cp:version/>
  <cp:contentType/>
  <cp:contentStatus/>
</cp:coreProperties>
</file>