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145" windowHeight="11460" activeTab="0"/>
  </bookViews>
  <sheets>
    <sheet name="2018" sheetId="1" r:id="rId1"/>
  </sheets>
  <externalReferences>
    <externalReference r:id="rId4"/>
  </externalReferences>
  <definedNames>
    <definedName name="_xlnm.Print_Area" localSheetId="0">'2018'!$A$1:$R$18</definedName>
  </definedNames>
  <calcPr fullCalcOnLoad="1"/>
</workbook>
</file>

<file path=xl/sharedStrings.xml><?xml version="1.0" encoding="utf-8"?>
<sst xmlns="http://schemas.openxmlformats.org/spreadsheetml/2006/main" count="47" uniqueCount="30">
  <si>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</si>
  <si>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</si>
  <si>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</si>
  <si>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</si>
  <si>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</si>
  <si>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</si>
  <si>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</si>
  <si>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</si>
  <si>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Поставщик</t>
  </si>
  <si>
    <t>ИТОГО</t>
  </si>
  <si>
    <t>ООО "Русэнергосбыт"</t>
  </si>
  <si>
    <t>ООО "Ромодановсахар"</t>
  </si>
  <si>
    <t>ОАО "Нижегородская сбытовая компания"</t>
  </si>
  <si>
    <t>сентябрь</t>
  </si>
  <si>
    <t>октябрь</t>
  </si>
  <si>
    <t>ноябрь</t>
  </si>
  <si>
    <t>декабрь</t>
  </si>
  <si>
    <t>ООО "Электросбытовая компания Ватт-Электросбыт"</t>
  </si>
  <si>
    <t>объем,         кВт.ч.</t>
  </si>
  <si>
    <t>средняя цена, руб/кВт.ч.</t>
  </si>
  <si>
    <t>цена, руб/кВт.ч.</t>
  </si>
  <si>
    <t>АО "ГТ Энерго"</t>
  </si>
  <si>
    <t>объем,                    кВт</t>
  </si>
  <si>
    <t>цена, руб/кВт</t>
  </si>
  <si>
    <t>объем,                    кВт (мощность)</t>
  </si>
  <si>
    <t>ООО "Электросбытовая компания Ватт-Электросбыт" (договор №H388 от 02.08.2016г.)</t>
  </si>
  <si>
    <t>объем, кВтч.</t>
  </si>
  <si>
    <t>цена руб./кВтч</t>
  </si>
  <si>
    <t>Х</t>
  </si>
  <si>
    <t>Объем покупки электрической энергии (мощности) на розничном рынке в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</si>
</sst>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#,##0.0"/>
    <numFmt numFmtId="187" formatCode="#,##0.00&quot;р.&quot;"/>
    <numFmt numFmtId="188" formatCode="#,##0.0000"/>
    <numFmt numFmtId="189" formatCode="#,##0.00000"/>
    <numFmt numFmtId="190" formatCode="#,##0.000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NumberFormat="1" applyAlignment="1">
      <alignment/>
    </xf>
    <xf numFmtId="4" fontId="1" fillId="0" borderId="0" xfId="0" applyFont="1" applyAlignment="1">
      <alignment vertical="center"/>
    </xf>
    <xf numFmtId="4" fontId="5" fillId="0" borderId="0" xfId="0" applyFont="1" applyAlignment="1">
      <alignment vertical="center"/>
    </xf>
    <xf numFmtId="4" fontId="5" fillId="0" borderId="0" xfId="0" applyFont="1" applyAlignment="1">
      <alignment horizontal="center" vertical="center" wrapText="1"/>
    </xf>
    <xf numFmtId="184" fontId="1" fillId="0" borderId="10" xfId="0" applyNumberFormat="1" applyFont="1" applyBorder="1" applyAlignment="1">
      <alignment vertical="center"/>
    </xf>
    <xf numFmtId="184" fontId="0" fillId="0" borderId="11" xfId="0" applyNumberFormat="1" applyFont="1" applyBorder="1" applyAlignment="1">
      <alignment vertical="center"/>
    </xf>
    <xf numFmtId="184" fontId="0" fillId="0" borderId="12" xfId="0" applyNumberFormat="1" applyFont="1" applyBorder="1" applyAlignment="1">
      <alignment vertical="center"/>
    </xf>
    <xf numFmtId="184" fontId="0" fillId="0" borderId="13" xfId="0" applyNumberFormat="1" applyFont="1" applyBorder="1" applyAlignment="1">
      <alignment vertical="center"/>
    </xf>
    <xf numFmtId="4" fontId="1" fillId="0" borderId="14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184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184" fontId="0" fillId="0" borderId="16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185" fontId="0" fillId="0" borderId="21" xfId="0" applyNumberFormat="1" applyFont="1" applyBorder="1" applyAlignment="1">
      <alignment horizontal="center" vertical="center"/>
    </xf>
    <xf numFmtId="184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184" fontId="0" fillId="0" borderId="24" xfId="0" applyNumberFormat="1" applyFont="1" applyBorder="1" applyAlignment="1">
      <alignment horizontal="center" vertical="center"/>
    </xf>
    <xf numFmtId="184" fontId="0" fillId="0" borderId="2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184" fontId="0" fillId="0" borderId="2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184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184" fontId="0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184" fontId="1" fillId="0" borderId="36" xfId="0" applyNumberFormat="1" applyFont="1" applyBorder="1" applyAlignment="1">
      <alignment horizontal="center" vertical="center" wrapText="1"/>
    </xf>
    <xf numFmtId="184" fontId="1" fillId="0" borderId="32" xfId="0" applyNumberFormat="1" applyFont="1" applyBorder="1" applyAlignment="1">
      <alignment horizontal="center" vertical="center" wrapText="1"/>
    </xf>
    <xf numFmtId="184" fontId="1" fillId="0" borderId="17" xfId="0" applyNumberFormat="1" applyFont="1" applyBorder="1" applyAlignment="1">
      <alignment horizontal="center" vertical="center" wrapText="1"/>
    </xf>
    <xf numFmtId="184" fontId="1" fillId="0" borderId="37" xfId="0" applyNumberFormat="1" applyFont="1" applyBorder="1" applyAlignment="1">
      <alignment horizontal="center" vertical="center" wrapText="1"/>
    </xf>
    <xf numFmtId="184" fontId="1" fillId="0" borderId="38" xfId="0" applyNumberFormat="1" applyFont="1" applyBorder="1" applyAlignment="1">
      <alignment horizontal="center" vertical="center" wrapText="1"/>
    </xf>
    <xf numFmtId="184" fontId="1" fillId="0" borderId="34" xfId="0" applyNumberFormat="1" applyFont="1" applyBorder="1" applyAlignment="1">
      <alignment horizontal="center" vertical="center" wrapText="1"/>
    </xf>
    <xf numFmtId="184" fontId="1" fillId="0" borderId="14" xfId="0" applyNumberFormat="1" applyFont="1" applyBorder="1" applyAlignment="1">
      <alignment horizontal="center" vertical="center" wrapText="1"/>
    </xf>
    <xf numFmtId="184" fontId="0" fillId="0" borderId="39" xfId="0" applyNumberFormat="1" applyFont="1" applyBorder="1" applyAlignment="1">
      <alignment horizontal="center" vertical="center"/>
    </xf>
    <xf numFmtId="184" fontId="0" fillId="0" borderId="40" xfId="0" applyNumberFormat="1" applyFont="1" applyBorder="1" applyAlignment="1">
      <alignment horizontal="center" vertical="center"/>
    </xf>
    <xf numFmtId="184" fontId="1" fillId="0" borderId="14" xfId="0" applyNumberFormat="1" applyFont="1" applyBorder="1" applyAlignment="1">
      <alignment horizontal="center" vertical="center"/>
    </xf>
    <xf numFmtId="3" fontId="0" fillId="33" borderId="18" xfId="0" applyNumberFormat="1" applyFont="1" applyFill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184" fontId="0" fillId="0" borderId="43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184" fontId="0" fillId="0" borderId="45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184" fontId="0" fillId="0" borderId="47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184" fontId="0" fillId="0" borderId="16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4" fontId="1" fillId="0" borderId="17" xfId="0" applyFont="1" applyBorder="1" applyAlignment="1">
      <alignment horizontal="center" vertical="center" wrapText="1"/>
    </xf>
    <xf numFmtId="4" fontId="1" fillId="0" borderId="35" xfId="0" applyFont="1" applyBorder="1" applyAlignment="1">
      <alignment horizontal="center" vertical="center" wrapText="1"/>
    </xf>
    <xf numFmtId="4" fontId="1" fillId="0" borderId="14" xfId="0" applyFont="1" applyBorder="1" applyAlignment="1">
      <alignment horizontal="center" vertical="center" wrapText="1"/>
    </xf>
    <xf numFmtId="184" fontId="1" fillId="0" borderId="50" xfId="0" applyNumberFormat="1" applyFont="1" applyBorder="1" applyAlignment="1">
      <alignment horizontal="center" vertical="center" wrapText="1"/>
    </xf>
    <xf numFmtId="0" fontId="0" fillId="0" borderId="51" xfId="0" applyNumberFormat="1" applyBorder="1" applyAlignment="1">
      <alignment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52" xfId="0" applyNumberFormat="1" applyFont="1" applyBorder="1" applyAlignment="1">
      <alignment horizontal="center" vertical="center" wrapText="1"/>
    </xf>
    <xf numFmtId="184" fontId="1" fillId="0" borderId="35" xfId="0" applyNumberFormat="1" applyFont="1" applyBorder="1" applyAlignment="1">
      <alignment horizontal="center" vertical="center" wrapText="1"/>
    </xf>
    <xf numFmtId="0" fontId="0" fillId="0" borderId="52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secontv\Desktop\&#1054;&#1073;&#1098;&#1077;&#1084;%20&#1101;&#1083;&#1077;&#1082;&#1090;&#1088;&#1080;&#1095;&#1077;&#1089;&#1082;&#1086;&#1081;%20&#1101;&#1085;&#1077;&#1088;&#1075;&#1080;&#1080;%20&#1087;&#1088;&#1080;&#1086;&#1073;&#1088;&#1077;&#1090;&#1077;&#1085;&#1085;&#1086;&#1081;%20&#1085;&#1072;%20&#1088;&#1086;&#1079;&#1085;&#1080;&#1095;&#1085;&#1086;&#1084;%20&#1088;&#1099;&#1085;&#1082;&#1077;%202018%20(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  <sheetDataSet>
      <sheetData sheetId="0">
        <row r="16">
          <cell r="B16">
            <v>911134</v>
          </cell>
          <cell r="D16">
            <v>17366</v>
          </cell>
          <cell r="F16">
            <v>218143</v>
          </cell>
          <cell r="H16">
            <v>2400</v>
          </cell>
          <cell r="J16">
            <v>2478183</v>
          </cell>
          <cell r="L16">
            <v>5280</v>
          </cell>
          <cell r="N16">
            <v>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5" sqref="K25"/>
    </sheetView>
  </sheetViews>
  <sheetFormatPr defaultColWidth="9.00390625" defaultRowHeight="12.75"/>
  <cols>
    <col min="1" max="1" width="13.375" style="2" customWidth="1"/>
    <col min="2" max="2" width="10.375" style="2" customWidth="1"/>
    <col min="3" max="3" width="12.25390625" style="2" customWidth="1"/>
    <col min="4" max="4" width="9.375" style="2" customWidth="1"/>
    <col min="5" max="5" width="19.25390625" style="2" customWidth="1"/>
    <col min="6" max="6" width="11.125" style="2" customWidth="1"/>
    <col min="7" max="7" width="13.00390625" style="2" customWidth="1"/>
    <col min="8" max="8" width="9.625" style="2" customWidth="1"/>
    <col min="9" max="9" width="17.25390625" style="2" customWidth="1"/>
    <col min="10" max="10" width="11.125" style="2" customWidth="1"/>
    <col min="11" max="11" width="17.00390625" style="2" customWidth="1"/>
    <col min="12" max="12" width="14.625" style="2" customWidth="1"/>
    <col min="13" max="13" width="19.125" style="2" customWidth="1"/>
    <col min="14" max="14" width="9.25390625" style="2" customWidth="1"/>
    <col min="15" max="15" width="11.625" style="2" customWidth="1"/>
    <col min="16" max="16" width="11.375" style="1" customWidth="1"/>
    <col min="17" max="17" width="8.875" style="1" customWidth="1"/>
    <col min="18" max="18" width="11.75390625" style="1" customWidth="1"/>
    <col min="19" max="19" width="9.125" style="2" customWidth="1"/>
    <col min="20" max="20" width="14.375" style="2" customWidth="1"/>
    <col min="21" max="16384" width="9.125" style="2" customWidth="1"/>
  </cols>
  <sheetData>
    <row r="1" ht="12.75">
      <c r="A1" s="1" t="s">
        <v>29</v>
      </c>
    </row>
    <row r="2" ht="13.5" thickBot="1"/>
    <row r="3" spans="1:18" s="3" customFormat="1" ht="84.75" customHeight="1" thickBot="1">
      <c r="A3" s="60" t="s">
        <v>8</v>
      </c>
      <c r="B3" s="62" t="s">
        <v>10</v>
      </c>
      <c r="C3" s="63"/>
      <c r="D3" s="62" t="s">
        <v>12</v>
      </c>
      <c r="E3" s="63"/>
      <c r="F3" s="64" t="s">
        <v>11</v>
      </c>
      <c r="G3" s="64"/>
      <c r="H3" s="62" t="s">
        <v>17</v>
      </c>
      <c r="I3" s="63"/>
      <c r="J3" s="62" t="s">
        <v>21</v>
      </c>
      <c r="K3" s="64"/>
      <c r="L3" s="64"/>
      <c r="M3" s="65"/>
      <c r="N3" s="55" t="s">
        <v>25</v>
      </c>
      <c r="O3" s="56"/>
      <c r="P3" s="57" t="s">
        <v>9</v>
      </c>
      <c r="Q3" s="58"/>
      <c r="R3" s="59"/>
    </row>
    <row r="4" spans="1:18" s="3" customFormat="1" ht="45.75" customHeight="1" thickBot="1">
      <c r="A4" s="61"/>
      <c r="B4" s="35" t="s">
        <v>18</v>
      </c>
      <c r="C4" s="38" t="s">
        <v>20</v>
      </c>
      <c r="D4" s="35" t="s">
        <v>18</v>
      </c>
      <c r="E4" s="38" t="s">
        <v>20</v>
      </c>
      <c r="F4" s="35" t="s">
        <v>18</v>
      </c>
      <c r="G4" s="39" t="s">
        <v>20</v>
      </c>
      <c r="H4" s="35" t="s">
        <v>18</v>
      </c>
      <c r="I4" s="39" t="s">
        <v>20</v>
      </c>
      <c r="J4" s="36" t="s">
        <v>18</v>
      </c>
      <c r="K4" s="40" t="s">
        <v>20</v>
      </c>
      <c r="L4" s="37" t="s">
        <v>24</v>
      </c>
      <c r="M4" s="41" t="s">
        <v>23</v>
      </c>
      <c r="N4" s="36" t="s">
        <v>26</v>
      </c>
      <c r="O4" s="41" t="s">
        <v>27</v>
      </c>
      <c r="P4" s="37" t="s">
        <v>18</v>
      </c>
      <c r="Q4" s="37" t="s">
        <v>22</v>
      </c>
      <c r="R4" s="8" t="s">
        <v>19</v>
      </c>
    </row>
    <row r="5" spans="1:18" ht="13.5" customHeight="1">
      <c r="A5" s="5" t="s">
        <v>0</v>
      </c>
      <c r="B5" s="47">
        <v>977175</v>
      </c>
      <c r="C5" s="48">
        <f>(2439212.41-372083.25)/977175</f>
        <v>2.115413472510042</v>
      </c>
      <c r="D5" s="47">
        <v>22091</v>
      </c>
      <c r="E5" s="48">
        <f>(59984.5/D5)</f>
        <v>2.715336562400978</v>
      </c>
      <c r="F5" s="49">
        <v>0</v>
      </c>
      <c r="G5" s="50">
        <v>0</v>
      </c>
      <c r="H5" s="47">
        <v>3360</v>
      </c>
      <c r="I5" s="50">
        <v>2.44837</v>
      </c>
      <c r="J5" s="51">
        <v>4500073</v>
      </c>
      <c r="K5" s="52">
        <v>1.20773</v>
      </c>
      <c r="L5" s="53">
        <v>8646</v>
      </c>
      <c r="M5" s="54">
        <v>609.48276</v>
      </c>
      <c r="N5" s="51">
        <v>472</v>
      </c>
      <c r="O5" s="13">
        <f aca="true" t="shared" si="0" ref="O5:O10">ROUND(3.38/1.18,5)</f>
        <v>2.86441</v>
      </c>
      <c r="P5" s="46">
        <f>B5+D5+F5+H5+J5+N5</f>
        <v>5503171</v>
      </c>
      <c r="Q5" s="9">
        <f>L5</f>
        <v>8646</v>
      </c>
      <c r="R5" s="10">
        <f>(B5*C5+D5*E5+F5*G5+H5*I5+J5*K5+L5*M5+N5*O5)/P5</f>
        <v>2.333409827165102</v>
      </c>
    </row>
    <row r="6" spans="1:18" ht="12.75">
      <c r="A6" s="6" t="s">
        <v>1</v>
      </c>
      <c r="B6" s="14">
        <v>942014</v>
      </c>
      <c r="C6" s="15">
        <f>(2440999.12-372355.79)/B6</f>
        <v>2.1959793909644656</v>
      </c>
      <c r="D6" s="45">
        <f>13044+1894</f>
        <v>14938</v>
      </c>
      <c r="E6" s="13">
        <f>34332.43/D6</f>
        <v>2.2983284241531665</v>
      </c>
      <c r="F6" s="16">
        <v>0</v>
      </c>
      <c r="G6" s="17">
        <v>0</v>
      </c>
      <c r="H6" s="14">
        <v>2880</v>
      </c>
      <c r="I6" s="18">
        <v>2.59754</v>
      </c>
      <c r="J6" s="14">
        <v>3740075</v>
      </c>
      <c r="K6" s="42">
        <v>1.17839</v>
      </c>
      <c r="L6" s="19">
        <v>8276</v>
      </c>
      <c r="M6" s="20">
        <v>629.43103</v>
      </c>
      <c r="N6" s="45">
        <v>503</v>
      </c>
      <c r="O6" s="13">
        <f t="shared" si="0"/>
        <v>2.86441</v>
      </c>
      <c r="P6" s="46">
        <f>B6+D6+F6+H6+J6+N6</f>
        <v>4700410</v>
      </c>
      <c r="Q6" s="9">
        <f>L6</f>
        <v>8276</v>
      </c>
      <c r="R6" s="10">
        <f>(B6*C6+D6*E6+F6*G6+H6*I6+J6*K6+L6*M6+N6*O6)/P6</f>
        <v>2.4951729012915895</v>
      </c>
    </row>
    <row r="7" spans="1:18" ht="12.75">
      <c r="A7" s="6" t="s">
        <v>2</v>
      </c>
      <c r="B7" s="14">
        <v>892912</v>
      </c>
      <c r="C7" s="20">
        <f>(2199301.91-335486.74)/B7</f>
        <v>2.0873447439389325</v>
      </c>
      <c r="D7" s="14">
        <v>18187</v>
      </c>
      <c r="E7" s="20">
        <f>(45724.98/D7)</f>
        <v>2.514157365150932</v>
      </c>
      <c r="F7" s="16">
        <v>0</v>
      </c>
      <c r="G7" s="17">
        <v>0</v>
      </c>
      <c r="H7" s="14">
        <v>2400</v>
      </c>
      <c r="I7" s="18">
        <v>2.37022</v>
      </c>
      <c r="J7" s="14">
        <v>4387468</v>
      </c>
      <c r="K7" s="42">
        <v>1.22037</v>
      </c>
      <c r="L7" s="19">
        <v>9122</v>
      </c>
      <c r="M7" s="20">
        <v>609.8868</v>
      </c>
      <c r="N7" s="14">
        <v>443</v>
      </c>
      <c r="O7" s="13">
        <f t="shared" si="0"/>
        <v>2.86441</v>
      </c>
      <c r="P7" s="46">
        <f>B7+D7+F7+H7+J7+N7</f>
        <v>5301410</v>
      </c>
      <c r="Q7" s="9">
        <f aca="true" t="shared" si="1" ref="Q7:Q16">L7</f>
        <v>9122</v>
      </c>
      <c r="R7" s="10">
        <f>(B7*C7+D7*E7+F7*G7+H7*I7+J7*K7+L7*M7+N7*O7)/P7</f>
        <v>2.4209067633686137</v>
      </c>
    </row>
    <row r="8" spans="1:18" ht="12.75">
      <c r="A8" s="6" t="s">
        <v>3</v>
      </c>
      <c r="B8" s="14">
        <v>794206</v>
      </c>
      <c r="C8" s="20">
        <f>(2187635.71-333707.15)/B8</f>
        <v>2.334316990805912</v>
      </c>
      <c r="D8" s="14">
        <v>27321</v>
      </c>
      <c r="E8" s="20">
        <f>79087.3/D8</f>
        <v>2.8947439698400497</v>
      </c>
      <c r="F8" s="16">
        <v>0</v>
      </c>
      <c r="G8" s="17">
        <v>0</v>
      </c>
      <c r="H8" s="14">
        <v>2400</v>
      </c>
      <c r="I8" s="21">
        <v>2.62595</v>
      </c>
      <c r="J8" s="14">
        <v>4659422</v>
      </c>
      <c r="K8" s="42">
        <v>1.32955</v>
      </c>
      <c r="L8" s="19">
        <v>9968</v>
      </c>
      <c r="M8" s="20">
        <v>667.80966</v>
      </c>
      <c r="N8" s="14">
        <v>496</v>
      </c>
      <c r="O8" s="13">
        <f t="shared" si="0"/>
        <v>2.86441</v>
      </c>
      <c r="P8" s="46">
        <f aca="true" t="shared" si="2" ref="P8:P16">B8+D8+F8+H8+J8+N8</f>
        <v>5483845</v>
      </c>
      <c r="Q8" s="9">
        <f t="shared" si="1"/>
        <v>9968</v>
      </c>
      <c r="R8" s="10">
        <f aca="true" t="shared" si="3" ref="R8:R16">(B8*C8+D8*E8+F8*G8+H8*I8+J8*K8+L8*M8+N8*O8)/P8</f>
        <v>2.6974504382126043</v>
      </c>
    </row>
    <row r="9" spans="1:18" ht="12.75">
      <c r="A9" s="6" t="s">
        <v>4</v>
      </c>
      <c r="B9" s="14">
        <v>636893</v>
      </c>
      <c r="C9" s="20">
        <f>(1343481.51)/B9</f>
        <v>2.1094304851835393</v>
      </c>
      <c r="D9" s="14">
        <v>21892</v>
      </c>
      <c r="E9" s="20">
        <f>59257.65/D9</f>
        <v>2.706817558925635</v>
      </c>
      <c r="F9" s="16">
        <v>0</v>
      </c>
      <c r="G9" s="17">
        <v>0</v>
      </c>
      <c r="H9" s="45">
        <v>4800</v>
      </c>
      <c r="I9" s="21">
        <v>2.5381</v>
      </c>
      <c r="J9" s="14">
        <v>2435410</v>
      </c>
      <c r="K9" s="42">
        <v>1.263</v>
      </c>
      <c r="L9" s="19">
        <v>5349</v>
      </c>
      <c r="M9" s="20">
        <v>657.79059</v>
      </c>
      <c r="N9" s="14">
        <v>460</v>
      </c>
      <c r="O9" s="13">
        <f t="shared" si="0"/>
        <v>2.86441</v>
      </c>
      <c r="P9" s="46">
        <f t="shared" si="2"/>
        <v>3099455</v>
      </c>
      <c r="Q9" s="9">
        <f t="shared" si="1"/>
        <v>5349</v>
      </c>
      <c r="R9" s="10">
        <f t="shared" si="3"/>
        <v>2.58454611036779</v>
      </c>
    </row>
    <row r="10" spans="1:18" ht="12.75">
      <c r="A10" s="6" t="s">
        <v>5</v>
      </c>
      <c r="B10" s="14">
        <v>659136</v>
      </c>
      <c r="C10" s="20">
        <f>(1656346.74-252663.06)/B10</f>
        <v>2.129581270026216</v>
      </c>
      <c r="D10" s="14">
        <v>719</v>
      </c>
      <c r="E10" s="20">
        <f>1511.12/D10</f>
        <v>2.101696801112656</v>
      </c>
      <c r="F10" s="16">
        <v>0</v>
      </c>
      <c r="G10" s="17">
        <v>0</v>
      </c>
      <c r="H10" s="45">
        <v>2400</v>
      </c>
      <c r="I10" s="22">
        <v>2.50512</v>
      </c>
      <c r="J10" s="14">
        <v>3965738</v>
      </c>
      <c r="K10" s="42">
        <v>1.2149</v>
      </c>
      <c r="L10" s="19">
        <v>8922</v>
      </c>
      <c r="M10" s="20">
        <v>607.23455</v>
      </c>
      <c r="N10" s="14">
        <v>502</v>
      </c>
      <c r="O10" s="13">
        <f t="shared" si="0"/>
        <v>2.86441</v>
      </c>
      <c r="P10" s="46">
        <f t="shared" si="2"/>
        <v>4628495</v>
      </c>
      <c r="Q10" s="9">
        <f t="shared" si="1"/>
        <v>8922</v>
      </c>
      <c r="R10" s="10">
        <f>(B10*C10+D10*E10+F10*G10+H10*I10+J10*K10+L10*M10+N10*O10)/P10</f>
        <v>2.5166640070087576</v>
      </c>
    </row>
    <row r="11" spans="1:18" ht="12.75">
      <c r="A11" s="6" t="s">
        <v>6</v>
      </c>
      <c r="B11" s="14">
        <v>689778</v>
      </c>
      <c r="C11" s="20">
        <f>(1856057.85-283127.47)/B11</f>
        <v>2.2803429219256053</v>
      </c>
      <c r="D11" s="14">
        <v>5266</v>
      </c>
      <c r="E11" s="20">
        <f>(11513.8/D11)</f>
        <v>2.1864413216862895</v>
      </c>
      <c r="F11" s="16">
        <v>0</v>
      </c>
      <c r="G11" s="23">
        <v>0</v>
      </c>
      <c r="H11" s="14">
        <v>4800</v>
      </c>
      <c r="I11" s="21">
        <v>2.64269</v>
      </c>
      <c r="J11" s="14">
        <v>4010378</v>
      </c>
      <c r="K11" s="42">
        <v>1.28544</v>
      </c>
      <c r="L11" s="19">
        <v>7650</v>
      </c>
      <c r="M11" s="20">
        <v>607.63567</v>
      </c>
      <c r="N11" s="14">
        <v>460</v>
      </c>
      <c r="O11" s="13">
        <f>ROUND(3.51/1.18,5)</f>
        <v>2.97458</v>
      </c>
      <c r="P11" s="46">
        <f t="shared" si="2"/>
        <v>4710682</v>
      </c>
      <c r="Q11" s="9">
        <f t="shared" si="1"/>
        <v>7650</v>
      </c>
      <c r="R11" s="10">
        <f t="shared" si="3"/>
        <v>2.420458560059881</v>
      </c>
    </row>
    <row r="12" spans="1:18" ht="12.75">
      <c r="A12" s="6" t="s">
        <v>7</v>
      </c>
      <c r="B12" s="14">
        <v>685894</v>
      </c>
      <c r="C12" s="20">
        <f>(1917690.04-292528.99)/B12</f>
        <v>2.3694055495455566</v>
      </c>
      <c r="D12" s="14">
        <v>13357</v>
      </c>
      <c r="E12" s="20">
        <f>29537.59/D12</f>
        <v>2.211394025604552</v>
      </c>
      <c r="F12" s="16">
        <v>0</v>
      </c>
      <c r="G12" s="21">
        <v>0</v>
      </c>
      <c r="H12" s="14">
        <v>2400</v>
      </c>
      <c r="I12" s="21">
        <v>2.70017</v>
      </c>
      <c r="J12" s="14">
        <v>2126227</v>
      </c>
      <c r="K12" s="42">
        <v>1.38858</v>
      </c>
      <c r="L12" s="19">
        <v>3871</v>
      </c>
      <c r="M12" s="20">
        <v>618.46059</v>
      </c>
      <c r="N12" s="14">
        <v>283</v>
      </c>
      <c r="O12" s="13">
        <f>ROUND(3.51/1.18,5)</f>
        <v>2.97458</v>
      </c>
      <c r="P12" s="46">
        <f t="shared" si="2"/>
        <v>2828161</v>
      </c>
      <c r="Q12" s="9">
        <f t="shared" si="1"/>
        <v>3871</v>
      </c>
      <c r="R12" s="10">
        <f>(B12*C12+D12*E12+F12*G12+H12*I12+J12*K12+L12*M12+N12*O12)/P12</f>
        <v>2.4781184966803522</v>
      </c>
    </row>
    <row r="13" spans="1:18" ht="12.75">
      <c r="A13" s="6" t="s">
        <v>13</v>
      </c>
      <c r="B13" s="14">
        <v>618553</v>
      </c>
      <c r="C13" s="20">
        <f>(1680377.22-256328.73)/B13</f>
        <v>2.302225500482578</v>
      </c>
      <c r="D13" s="14">
        <v>12776</v>
      </c>
      <c r="E13" s="20">
        <f>27990.32/D13</f>
        <v>2.1908515967438946</v>
      </c>
      <c r="F13" s="16">
        <v>461793</v>
      </c>
      <c r="G13" s="21">
        <v>1.47604</v>
      </c>
      <c r="H13" s="14">
        <v>2400</v>
      </c>
      <c r="I13" s="21">
        <v>2.97509</v>
      </c>
      <c r="J13" s="14">
        <v>3831306</v>
      </c>
      <c r="K13" s="42">
        <v>1.4391</v>
      </c>
      <c r="L13" s="19">
        <v>8493</v>
      </c>
      <c r="M13" s="20">
        <v>657.34947</v>
      </c>
      <c r="N13" s="14">
        <v>456</v>
      </c>
      <c r="O13" s="13">
        <f>ROUND(3.51/1.18,5)</f>
        <v>2.97458</v>
      </c>
      <c r="P13" s="46">
        <f>B13+D13+F13+H13+J13+N13</f>
        <v>4927284</v>
      </c>
      <c r="Q13" s="9">
        <f t="shared" si="1"/>
        <v>8493</v>
      </c>
      <c r="R13" s="10">
        <f>(B13*C13+D13*E13+F13*G13+H13*I13+J13*K13+L13*M13+N13*O13)/P13</f>
        <v>2.6868071512642664</v>
      </c>
    </row>
    <row r="14" spans="1:18" ht="12.75">
      <c r="A14" s="6" t="s">
        <v>14</v>
      </c>
      <c r="B14" s="14">
        <v>814685</v>
      </c>
      <c r="C14" s="15">
        <f>(2274250.66-346919.59)/B14</f>
        <v>2.365737763675531</v>
      </c>
      <c r="D14" s="14">
        <f>22592</f>
        <v>22592</v>
      </c>
      <c r="E14" s="20">
        <f>64277.25/D14</f>
        <v>2.8451332330028327</v>
      </c>
      <c r="F14" s="16">
        <v>1315547</v>
      </c>
      <c r="G14" s="21">
        <v>1.46202</v>
      </c>
      <c r="H14" s="45">
        <v>4800</v>
      </c>
      <c r="I14" s="21">
        <v>2.89933</v>
      </c>
      <c r="J14" s="14">
        <v>2703620</v>
      </c>
      <c r="K14" s="42">
        <v>1.35525</v>
      </c>
      <c r="L14" s="19">
        <v>5308</v>
      </c>
      <c r="M14" s="20">
        <v>671.41855</v>
      </c>
      <c r="N14" s="14">
        <v>428</v>
      </c>
      <c r="O14" s="13">
        <f>ROUND(3.51/1.18,5)</f>
        <v>2.97458</v>
      </c>
      <c r="P14" s="46">
        <f>B14+D14+F14+H14+J14+N14</f>
        <v>4861672</v>
      </c>
      <c r="Q14" s="9">
        <f>L14</f>
        <v>5308</v>
      </c>
      <c r="R14" s="10">
        <f>(B14*C14+D14*E14+F14*G14+H14*I14+J14*K14+L14*M14+N14*O14)/P14</f>
        <v>2.2951208797261518</v>
      </c>
    </row>
    <row r="15" spans="1:18" ht="12.75">
      <c r="A15" s="6" t="s">
        <v>15</v>
      </c>
      <c r="B15" s="14">
        <v>913677</v>
      </c>
      <c r="C15" s="20">
        <f>(2564492.24-391193.73)/B15</f>
        <v>2.3786288918293885</v>
      </c>
      <c r="D15" s="14">
        <v>18679</v>
      </c>
      <c r="E15" s="20">
        <f>40840.53/D15</f>
        <v>2.1864409229616144</v>
      </c>
      <c r="F15" s="16">
        <v>1182983</v>
      </c>
      <c r="G15" s="21">
        <v>1.4076</v>
      </c>
      <c r="H15" s="14">
        <v>2400</v>
      </c>
      <c r="I15" s="21">
        <v>2.92671</v>
      </c>
      <c r="J15" s="14">
        <v>2297418</v>
      </c>
      <c r="K15" s="42">
        <v>1.41412</v>
      </c>
      <c r="L15" s="19">
        <v>5737</v>
      </c>
      <c r="M15" s="20">
        <v>670.1789</v>
      </c>
      <c r="N15" s="14">
        <v>502</v>
      </c>
      <c r="O15" s="13">
        <f>ROUND(3.51/1.18,5)</f>
        <v>2.97458</v>
      </c>
      <c r="P15" s="46">
        <f>B15+D15+F15+H15+J15+N15</f>
        <v>4415659</v>
      </c>
      <c r="Q15" s="9">
        <f t="shared" si="1"/>
        <v>5737</v>
      </c>
      <c r="R15" s="10">
        <f>(B15*C15+D15*E15+F15*G15+H15*I15+J15*K15+L15*M15+N15*O15)/P15</f>
        <v>2.4869366827057973</v>
      </c>
    </row>
    <row r="16" spans="1:18" ht="13.5" thickBot="1">
      <c r="A16" s="7" t="s">
        <v>16</v>
      </c>
      <c r="B16" s="24">
        <f>'[1]2018'!$B$16</f>
        <v>911134</v>
      </c>
      <c r="C16" s="25">
        <f>(2503827.32-381939.76)/B16</f>
        <v>2.328842475420739</v>
      </c>
      <c r="D16" s="24">
        <f>'[1]2018'!$D$16</f>
        <v>17366</v>
      </c>
      <c r="E16" s="25">
        <f>39087.19/D16</f>
        <v>2.2507883220085225</v>
      </c>
      <c r="F16" s="26">
        <f>'[1]2018'!$F$16</f>
        <v>218143</v>
      </c>
      <c r="G16" s="27">
        <v>1.35605</v>
      </c>
      <c r="H16" s="24">
        <f>'[1]2018'!$H$16</f>
        <v>2400</v>
      </c>
      <c r="I16" s="21">
        <v>2.68057</v>
      </c>
      <c r="J16" s="28">
        <f>'[1]2018'!$J$16</f>
        <v>2478183</v>
      </c>
      <c r="K16" s="43">
        <v>1.39151</v>
      </c>
      <c r="L16" s="29">
        <f>'[1]2018'!$L$16</f>
        <v>5280</v>
      </c>
      <c r="M16" s="30">
        <v>625.94536</v>
      </c>
      <c r="N16" s="28">
        <f>'[1]2018'!$N$16</f>
        <v>487</v>
      </c>
      <c r="O16" s="13">
        <f>ROUND(3.51/1.18,5)</f>
        <v>2.97458</v>
      </c>
      <c r="P16" s="46">
        <f t="shared" si="2"/>
        <v>3627713</v>
      </c>
      <c r="Q16" s="9">
        <f t="shared" si="1"/>
        <v>5280</v>
      </c>
      <c r="R16" s="10">
        <f t="shared" si="3"/>
        <v>2.5410161941531757</v>
      </c>
    </row>
    <row r="17" spans="1:18" ht="16.5" customHeight="1" thickBot="1">
      <c r="A17" s="4" t="s">
        <v>9</v>
      </c>
      <c r="B17" s="31">
        <f>B5+B6+B7+B8+B9+B10+B11+B12+B13+B14+B15+B16</f>
        <v>9536057</v>
      </c>
      <c r="C17" s="12" t="s">
        <v>28</v>
      </c>
      <c r="D17" s="31">
        <f>D5+D6+D7+D8+D9+D10+D11+D12+D13+D14+D15+D16</f>
        <v>195184</v>
      </c>
      <c r="E17" s="12" t="s">
        <v>28</v>
      </c>
      <c r="F17" s="31">
        <f>F5+F6+F7+F8+F9+F10+F11+F12+F13+F14+F15+F16</f>
        <v>3178466</v>
      </c>
      <c r="G17" s="32" t="s">
        <v>28</v>
      </c>
      <c r="H17" s="31">
        <f>H5+H6+H7+H8+H9+H10+H11+H12+H13+H14+H15+H16</f>
        <v>37440</v>
      </c>
      <c r="I17" s="32" t="s">
        <v>28</v>
      </c>
      <c r="J17" s="31">
        <f>J5+J6+J7+J8+J9+J10+J11+J12+J13+J14+J15+J16</f>
        <v>41135318</v>
      </c>
      <c r="K17" s="33" t="s">
        <v>28</v>
      </c>
      <c r="L17" s="34">
        <f>(L5+L6+L7+L8+L9+L10+L11+L12+L13+L14+L15+L16)/12</f>
        <v>7218.5</v>
      </c>
      <c r="M17" s="12" t="s">
        <v>28</v>
      </c>
      <c r="N17" s="31">
        <f>N5+N6+N7+N8+N9+N10+N11+N12+N13+N14+N15+N16</f>
        <v>5492</v>
      </c>
      <c r="O17" s="44" t="s">
        <v>28</v>
      </c>
      <c r="P17" s="11">
        <f>SUM(P5:P16)</f>
        <v>54087957</v>
      </c>
      <c r="Q17" s="11">
        <f>SUM(Q5:Q16)/12</f>
        <v>7218.5</v>
      </c>
      <c r="R17" s="12" t="s">
        <v>28</v>
      </c>
    </row>
  </sheetData>
  <sheetProtection/>
  <mergeCells count="8">
    <mergeCell ref="N3:O3"/>
    <mergeCell ref="P3:R3"/>
    <mergeCell ref="A3:A4"/>
    <mergeCell ref="B3:C3"/>
    <mergeCell ref="D3:E3"/>
    <mergeCell ref="F3:G3"/>
    <mergeCell ref="H3:I3"/>
    <mergeCell ref="J3:M3"/>
  </mergeCells>
  <printOptions/>
  <pageMargins left="0.3937007874015748" right="0.3937007874015748" top="0.984251968503937" bottom="0.984251968503937" header="0" footer="0"/>
  <pageSetup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</dc:creator>
  <cp:keywords/>
  <dc:description/>
  <cp:lastModifiedBy>Напалкова </cp:lastModifiedBy>
  <cp:lastPrinted>2018-06-19T11:11:10Z</cp:lastPrinted>
  <dcterms:created xsi:type="dcterms:W3CDTF">2010-10-04T09:50:11Z</dcterms:created>
  <dcterms:modified xsi:type="dcterms:W3CDTF">2019-01-22T09:03:02Z</dcterms:modified>
  <cp:category/>
  <cp:version/>
  <cp:contentType/>
  <cp:contentStatus/>
</cp:coreProperties>
</file>